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0" windowHeight="10335" firstSheet="1" activeTab="1"/>
  </bookViews>
  <sheets>
    <sheet name="Передвижная энергетика 1" sheetId="1" state="hidden" r:id="rId1"/>
    <sheet name="2019-2023 (3)" sheetId="2" r:id="rId2"/>
    <sheet name="проч" sheetId="3" state="hidden" r:id="rId3"/>
    <sheet name="Росэнергоатом" sheetId="4" state="hidden" r:id="rId4"/>
  </sheets>
  <definedNames>
    <definedName name="_xlnm.Print_Titles" localSheetId="1">'2019-2023 (3)'!$21:$22</definedName>
    <definedName name="_xlnm.Print_Area" localSheetId="1">'2019-2023 (3)'!$A$1:$K$461</definedName>
  </definedNames>
  <calcPr fullCalcOnLoad="1"/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B20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в этой статье учли инвестиции 
</t>
        </r>
      </text>
    </comment>
  </commentList>
</comments>
</file>

<file path=xl/sharedStrings.xml><?xml version="1.0" encoding="utf-8"?>
<sst xmlns="http://schemas.openxmlformats.org/spreadsheetml/2006/main" count="2041" uniqueCount="1138">
  <si>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</si>
  <si>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</si>
  <si>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</si>
  <si>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</si>
  <si>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</si>
  <si>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</si>
  <si>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</si>
  <si>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</si>
  <si>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</si>
  <si>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</si>
  <si>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</si>
  <si>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</si>
  <si>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</si>
  <si>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</si>
  <si>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</si>
  <si>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</si>
  <si>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1.2.3.1.2</t>
  </si>
  <si>
    <t>1.2.3.7.1</t>
  </si>
  <si>
    <t>1.2.3.7.2</t>
  </si>
  <si>
    <t>Возврат налога на добавленную стоимость****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</si>
  <si>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</si>
  <si>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</si>
  <si>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</si>
  <si>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</si>
  <si>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</si>
  <si>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</si>
  <si>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</si>
  <si>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</si>
  <si>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</si>
  <si>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</si>
  <si>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</si>
  <si>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</si>
  <si>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</si>
  <si>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</si>
  <si>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</si>
  <si>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</si>
  <si>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</si>
  <si>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</si>
  <si>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</si>
  <si>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</si>
  <si>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</si>
  <si>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</si>
  <si>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</si>
  <si>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</si>
  <si>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</si>
  <si>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</si>
  <si>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</si>
  <si>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 указывается на основании заключенных договоров на оказание услуг по передаче электрической энергии 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</si>
  <si>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</si>
  <si>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</si>
  <si>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</si>
  <si>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Неободимая валовая выручка сетевой организации в части содержания (строка 1.3-строка 2.2.1-строка 2.2.2-строка 2.1.2.1.1)</t>
  </si>
  <si>
    <t xml:space="preserve">    авансовое использование прибыли</t>
  </si>
  <si>
    <t>6.1.1</t>
  </si>
  <si>
    <t>6.1.2</t>
  </si>
  <si>
    <t>6.1.3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</si>
  <si>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</si>
  <si>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</si>
  <si>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</si>
  <si>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</si>
  <si>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</si>
  <si>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</si>
  <si>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</si>
  <si>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</si>
  <si>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</si>
  <si>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</si>
  <si>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</si>
  <si>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</si>
  <si>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</si>
  <si>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</si>
  <si>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Платежи по текущим операциям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</si>
  <si>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</si>
  <si>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</si>
  <si>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</si>
  <si>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</si>
  <si>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</si>
  <si>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</si>
  <si>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</si>
  <si>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</si>
  <si>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</si>
  <si>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Погашение кредитов и займов всего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</si>
  <si>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</si>
  <si>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</si>
  <si>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</si>
  <si>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</si>
  <si>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</si>
  <si>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</si>
  <si>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</si>
  <si>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</si>
  <si>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</si>
  <si>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</si>
  <si>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</si>
  <si>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</si>
  <si>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</si>
  <si>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</si>
  <si>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</si>
  <si>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</si>
  <si>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</si>
  <si>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</si>
  <si>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</si>
  <si>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</si>
  <si>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</si>
  <si>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</si>
  <si>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</si>
  <si>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</si>
  <si>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</si>
  <si>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</si>
  <si>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</si>
  <si>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</si>
  <si>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</si>
  <si>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</si>
  <si>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</si>
  <si>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</si>
  <si>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</si>
  <si>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</si>
  <si>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>Прибыль до налогообложения без учета процентов к уплате и амортизации (строкаV + строка 4.2.2 + строка II.IV)</t>
  </si>
  <si>
    <t>Сальдо денежных средств по операционной деятельности (строка X-строка XI) всего, в том числе:</t>
  </si>
  <si>
    <t>Итого сальдо денежных средств (строка XVI+строка XVII+строка XVIII+строка XIX)</t>
  </si>
  <si>
    <t>услуги инфраструктурных организаций*****</t>
  </si>
  <si>
    <t>Прибыль (убыток) до налогообложения (строка III + строка IV) всего, в том числе:</t>
  </si>
  <si>
    <t>Чистая прибыль (убыток) всего, в том числе:</t>
  </si>
  <si>
    <t>Долг (кредиты и займы) на конец периода, в том числе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</si>
  <si>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</si>
  <si>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</si>
  <si>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</si>
  <si>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</si>
  <si>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</si>
  <si>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вексели</t>
  </si>
  <si>
    <t>Прочие поступления по финансовым операциям</t>
  </si>
  <si>
    <t>Прочие выплаты по финансовым операциям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</si>
  <si>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</si>
  <si>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инвестиционным операциям</t>
  </si>
  <si>
    <t>Сальдо денежных средств по финансовым операциям всего (строка XIV-строка XV), в том числе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</si>
  <si>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</si>
  <si>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</si>
  <si>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</si>
  <si>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</si>
  <si>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 xml:space="preserve">2 Источники финансирования инвестиционной программы субъекта электроэнергетики </t>
  </si>
  <si>
    <t>Вексели</t>
  </si>
  <si>
    <t>Форма № ___ Финансовый план субъекта электроэнергетики</t>
  </si>
  <si>
    <t>15.1.1</t>
  </si>
  <si>
    <t>15.1.2</t>
  </si>
  <si>
    <t>15.1.3</t>
  </si>
  <si>
    <t>23.3.7.1</t>
  </si>
  <si>
    <t>23.3.7.2</t>
  </si>
  <si>
    <t>Источники финансирования инвестиционной программы всего (строка I+строка II) всего, в том числе:</t>
  </si>
  <si>
    <t>23.1.6</t>
  </si>
  <si>
    <t>№ п/п</t>
  </si>
  <si>
    <t>Показатель</t>
  </si>
  <si>
    <t>Сырье, материалы, запасные части, инструменты</t>
  </si>
  <si>
    <t>Амортизационные отчисления</t>
  </si>
  <si>
    <t>Справочно:</t>
  </si>
  <si>
    <t>EBITDA</t>
  </si>
  <si>
    <t>Остаток денежных средств на начало периода</t>
  </si>
  <si>
    <t>Остаток денежных средств на конец периода</t>
  </si>
  <si>
    <t>Расходы на оплату труда с учетом ЕСН</t>
  </si>
  <si>
    <t>Управленческие расходы</t>
  </si>
  <si>
    <t>Проценты к уплате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</si>
  <si>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</si>
  <si>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</si>
  <si>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</si>
  <si>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</si>
  <si>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</si>
  <si>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</t>
  </si>
  <si>
    <t>1.1</t>
  </si>
  <si>
    <t>1.2</t>
  </si>
  <si>
    <t>II</t>
  </si>
  <si>
    <t>1</t>
  </si>
  <si>
    <t>1.3</t>
  </si>
  <si>
    <t>2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</si>
  <si>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</si>
  <si>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</si>
  <si>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</si>
  <si>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</si>
  <si>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</si>
  <si>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</si>
  <si>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</si>
  <si>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</si>
  <si>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</si>
  <si>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</si>
  <si>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</si>
  <si>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</si>
  <si>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</si>
  <si>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</si>
  <si>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тыс.Гкал</t>
  </si>
  <si>
    <t>чел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</si>
  <si>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</si>
  <si>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</si>
  <si>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</si>
  <si>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</si>
  <si>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</si>
  <si>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</si>
  <si>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</si>
  <si>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</si>
  <si>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</si>
  <si>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</si>
  <si>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</si>
  <si>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</si>
  <si>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</si>
  <si>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</si>
  <si>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</si>
  <si>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</si>
  <si>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</si>
  <si>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</si>
  <si>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</si>
  <si>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</si>
  <si>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</si>
  <si>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</si>
  <si>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</si>
  <si>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Погашение кредитов и займов</t>
  </si>
  <si>
    <t>на рефинансирование кредитов и займов</t>
  </si>
  <si>
    <t>из нее просроченная</t>
  </si>
  <si>
    <t>8.3</t>
  </si>
  <si>
    <t>8.4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</si>
  <si>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</si>
  <si>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</si>
  <si>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</si>
  <si>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</si>
  <si>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</si>
  <si>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</si>
  <si>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</si>
  <si>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</si>
  <si>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</si>
  <si>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</t>
  </si>
  <si>
    <t>Прочие  доходы, всего</t>
  </si>
  <si>
    <t>тыс.руб</t>
  </si>
  <si>
    <t xml:space="preserve">Проценты к получению </t>
  </si>
  <si>
    <t>От совместной деятельности</t>
  </si>
  <si>
    <t>От реализации основных средств, квартир, МПЗ, НМА, других внеоборотных активов</t>
  </si>
  <si>
    <t>От реализации ценных бумаг и финансовых инструментов</t>
  </si>
  <si>
    <t xml:space="preserve">         в т.ч. от продажи долгосрочных финансовых вложений (акций, долей)</t>
  </si>
  <si>
    <t>От аренды</t>
  </si>
  <si>
    <t>1.6</t>
  </si>
  <si>
    <t xml:space="preserve">От участия в других организациях  </t>
  </si>
  <si>
    <t>1.6.1</t>
  </si>
  <si>
    <t xml:space="preserve">         в т.ч. дивиденды полученные</t>
  </si>
  <si>
    <t>1.7.</t>
  </si>
  <si>
    <t>Пени, штрафы, неустойки признанные или по которым получено решение суда</t>
  </si>
  <si>
    <t>1.8.</t>
  </si>
  <si>
    <t>Прибыль прошлых лет, выявленная в отчётном периоде</t>
  </si>
  <si>
    <t>1.9.</t>
  </si>
  <si>
    <t>Доход от переоценки финансовых вложений, эмиссионных ценных бумаг, обращающихся на фондовом рынке, восстановление резервов под обесценение финансовых вложений</t>
  </si>
  <si>
    <t>1.9.1</t>
  </si>
  <si>
    <t xml:space="preserve">         в т.ч. от переоценки долгосрочных финансовых вложений (акций, долей)</t>
  </si>
  <si>
    <t>1.10.</t>
  </si>
  <si>
    <t>Доход от безвозмездно полученных активов</t>
  </si>
  <si>
    <t>1.11.</t>
  </si>
  <si>
    <t>Кредиторская задолженность более 3 лет</t>
  </si>
  <si>
    <t>1.12.</t>
  </si>
  <si>
    <t>От курсовых и суммовых разниц</t>
  </si>
  <si>
    <t>1.13.</t>
  </si>
  <si>
    <t>Субвенции на разницу в тарифах</t>
  </si>
  <si>
    <t>1.14.</t>
  </si>
  <si>
    <t>Восстановление резерва по сомнительным долгам</t>
  </si>
  <si>
    <t>1.15.</t>
  </si>
  <si>
    <t>Прочие доходы (чрезвычайные)*</t>
  </si>
  <si>
    <t>1.16.</t>
  </si>
  <si>
    <t>Другие прочие  доходы*</t>
  </si>
  <si>
    <t>2.</t>
  </si>
  <si>
    <t>Прочие  расходы, всего</t>
  </si>
  <si>
    <t>От реализации основных средств, квартир, МПЗ, НМА, других активов</t>
  </si>
  <si>
    <t>2.4.1</t>
  </si>
  <si>
    <t>Убыток от переоценки финансовых вложений, резерв под обесценение финансовых вложений</t>
  </si>
  <si>
    <t>2.5.1</t>
  </si>
  <si>
    <t>Прочие налоги отражающиеся в операц. расходах</t>
  </si>
  <si>
    <t>Оплата услуг кредитных организаций</t>
  </si>
  <si>
    <t>Резерв по сомнительным долгам</t>
  </si>
  <si>
    <t>2.10</t>
  </si>
  <si>
    <t>Содержание законсервированных объектов</t>
  </si>
  <si>
    <t>2.11</t>
  </si>
  <si>
    <t>Выбытие без дохода (стоимость безвозмездно переданного имущества)</t>
  </si>
  <si>
    <t>2.12</t>
  </si>
  <si>
    <t>2.13</t>
  </si>
  <si>
    <t>Убытки прошлых лет, выявленные в отчётном периоде</t>
  </si>
  <si>
    <t>2.14</t>
  </si>
  <si>
    <t>2.15</t>
  </si>
  <si>
    <t>Расходы социального характера **)</t>
  </si>
  <si>
    <t>2.16</t>
  </si>
  <si>
    <t>Расходы на реализацию программы улучшения жилищных условий</t>
  </si>
  <si>
    <t>2.17</t>
  </si>
  <si>
    <t>Расходы на содержание социальной сферы ***)</t>
  </si>
  <si>
    <t>2.18</t>
  </si>
  <si>
    <t>Фонд заработной платы из прочих расходов</t>
  </si>
  <si>
    <t>2.19</t>
  </si>
  <si>
    <t>Добровольное медицинское страхование</t>
  </si>
  <si>
    <t>2.20</t>
  </si>
  <si>
    <t>Выплаты вознаграждений членам Советов директоров и ревизионной комиссии</t>
  </si>
  <si>
    <t>2.21</t>
  </si>
  <si>
    <t>Расходы на управление капиталом (переоценка, реестр, консультации)</t>
  </si>
  <si>
    <t>2.22</t>
  </si>
  <si>
    <t xml:space="preserve">Расходы на проведение ежегодного собрания акционеров </t>
  </si>
  <si>
    <t>2.23</t>
  </si>
  <si>
    <t xml:space="preserve">Прочие  расходы (детализация)  </t>
  </si>
  <si>
    <t>2.23.1</t>
  </si>
  <si>
    <t xml:space="preserve">    взносы в некоммерческие фонды и партнерства</t>
  </si>
  <si>
    <t>2.23.1.1</t>
  </si>
  <si>
    <t xml:space="preserve">      в т.ч. НПФ Энергетики</t>
  </si>
  <si>
    <t>2.23.1.2</t>
  </si>
  <si>
    <t xml:space="preserve">               НП ИНВЭЛ</t>
  </si>
  <si>
    <t>2.23.1.3</t>
  </si>
  <si>
    <t xml:space="preserve">               ЭУФ</t>
  </si>
  <si>
    <t>2.23.1.4</t>
  </si>
  <si>
    <t xml:space="preserve">               НП АТС</t>
  </si>
  <si>
    <t>2.23.1.5</t>
  </si>
  <si>
    <t xml:space="preserve">               НП Гарантирующих поставщиков</t>
  </si>
  <si>
    <t>2.23.1.6</t>
  </si>
  <si>
    <t xml:space="preserve">               НП ВТИ</t>
  </si>
  <si>
    <t>2.23.1.7</t>
  </si>
  <si>
    <t xml:space="preserve">               фонды, созданные по инициативе органов власти и включенные в тарифы</t>
  </si>
  <si>
    <t>2.23.1.8</t>
  </si>
  <si>
    <t xml:space="preserve">    прочие</t>
  </si>
  <si>
    <t>2.23.2</t>
  </si>
  <si>
    <t>судебные издержки</t>
  </si>
  <si>
    <t>2.23.3</t>
  </si>
  <si>
    <t>расходы на экологию</t>
  </si>
  <si>
    <t>2.23.4</t>
  </si>
  <si>
    <t>издержки по исполнительному производству</t>
  </si>
  <si>
    <t>2.23.5</t>
  </si>
  <si>
    <t>списание долгов, нереальных к взысканию</t>
  </si>
  <si>
    <t>2.23.6</t>
  </si>
  <si>
    <t>невозмещаемый НДС</t>
  </si>
  <si>
    <t>2.23.7</t>
  </si>
  <si>
    <t>благотворительность</t>
  </si>
  <si>
    <t>2.23.8</t>
  </si>
  <si>
    <t>некапитализируемые расходы на строительство (зоны затопления и прочие)</t>
  </si>
  <si>
    <t>2.23.9</t>
  </si>
  <si>
    <t>Прочие расходы (чрезвычайные)*</t>
  </si>
  <si>
    <t>2.23.10</t>
  </si>
  <si>
    <t>другие расходы *)</t>
  </si>
  <si>
    <t>3.</t>
  </si>
  <si>
    <t>Сальдо</t>
  </si>
  <si>
    <t>2014 факт</t>
  </si>
  <si>
    <t>доходы э/э</t>
  </si>
  <si>
    <t>доходы проч</t>
  </si>
  <si>
    <t>расходы э/э</t>
  </si>
  <si>
    <t>расходы проч</t>
  </si>
  <si>
    <t>2017 план</t>
  </si>
  <si>
    <t>2017 кор.плана</t>
  </si>
  <si>
    <t>2018 план</t>
  </si>
  <si>
    <t>2018 кор.плана</t>
  </si>
  <si>
    <t>2019 кор.плана</t>
  </si>
  <si>
    <t>млн.кВт.ч</t>
  </si>
  <si>
    <t>2015 факт</t>
  </si>
  <si>
    <t>2016 кор.плана = колонка 2016 план</t>
  </si>
  <si>
    <t>Источник финансирования</t>
  </si>
  <si>
    <t>Итого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</si>
  <si>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</si>
  <si>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</si>
  <si>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Прибыль, направляемая на инвестиции, в том числе:</t>
  </si>
  <si>
    <t>1.1.1</t>
  </si>
  <si>
    <t>инвестиционная составляющая в тарифах (указать отдельно по регулируемым видам деятельности)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</si>
  <si>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</si>
  <si>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</si>
  <si>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</si>
  <si>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</si>
  <si>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</si>
  <si>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 xml:space="preserve">    от технологического присоединения генерации</t>
  </si>
  <si>
    <t>авансовое использование прибыли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</si>
  <si>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</si>
  <si>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</si>
  <si>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</si>
  <si>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</si>
  <si>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</si>
  <si>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1.2.1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</si>
  <si>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</si>
  <si>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</si>
  <si>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</si>
  <si>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</si>
  <si>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</si>
  <si>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средства допэмиссии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</si>
  <si>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</si>
  <si>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</si>
  <si>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</si>
  <si>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</si>
  <si>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</si>
  <si>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</si>
  <si>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</si>
  <si>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</si>
  <si>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</si>
  <si>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</si>
  <si>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</si>
  <si>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Использование лизинга</t>
  </si>
  <si>
    <t>Прочие привлеченные средства</t>
  </si>
  <si>
    <t>Финансовый план на период реализации инвестиционной программы ПАО "Передвижная энрегетика"
(заполняется по финансированию) 2016-2019</t>
  </si>
  <si>
    <t>Показатели</t>
  </si>
  <si>
    <t>год 2016</t>
  </si>
  <si>
    <t>год  2017</t>
  </si>
  <si>
    <t>год  2018</t>
  </si>
  <si>
    <t>год  2019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</si>
  <si>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</si>
  <si>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</si>
  <si>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</si>
  <si>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</si>
  <si>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</si>
  <si>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</si>
  <si>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</si>
  <si>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</si>
  <si>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</si>
  <si>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</si>
  <si>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</si>
  <si>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1.3.</t>
  </si>
  <si>
    <t>Покупная электроэнергия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</si>
  <si>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</si>
  <si>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</si>
  <si>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</si>
  <si>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</si>
  <si>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</si>
  <si>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</si>
  <si>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</si>
  <si>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</si>
  <si>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</si>
  <si>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</si>
  <si>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</si>
  <si>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</si>
  <si>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</si>
  <si>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</si>
  <si>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</si>
  <si>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</si>
  <si>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</si>
  <si>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</si>
  <si>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</si>
  <si>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</si>
  <si>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</si>
  <si>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</si>
  <si>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</si>
  <si>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</si>
  <si>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</si>
  <si>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</si>
  <si>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</si>
  <si>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</si>
  <si>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</si>
  <si>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</si>
  <si>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</si>
  <si>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</si>
  <si>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</si>
  <si>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+</t>
  </si>
  <si>
    <t>-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</si>
  <si>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</si>
  <si>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</si>
  <si>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</si>
  <si>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</si>
  <si>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</si>
  <si>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</si>
  <si>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</si>
  <si>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</si>
  <si>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</si>
  <si>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</si>
  <si>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</si>
  <si>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</si>
  <si>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</si>
  <si>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</si>
  <si>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</si>
  <si>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</si>
  <si>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</si>
  <si>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</si>
  <si>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</si>
  <si>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</si>
  <si>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</si>
  <si>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</si>
  <si>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</si>
  <si>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</si>
  <si>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</si>
  <si>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</si>
  <si>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</si>
  <si>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</si>
  <si>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 **)</t>
  </si>
  <si>
    <t>**) Долг расчитан исходя из ожидаемого значения на конец 2015 г. в сумме 225,0 млн. руб., на конец 2016 г. - 197,0 млн. руб.</t>
  </si>
  <si>
    <t>Прогноз тарифов, руб. кВт*ч (средний)</t>
  </si>
  <si>
    <t>Источники финансирования инвестиционной программы ПАО "Передвижная энрегетика" 2016-2019
(в прогнозных ценах соответствующих лет), млн. рублей</t>
  </si>
  <si>
    <t>№№</t>
  </si>
  <si>
    <t>План года 2016</t>
  </si>
  <si>
    <t>План года 2017</t>
  </si>
  <si>
    <t>План  года 2018</t>
  </si>
  <si>
    <t>План  года 2019</t>
  </si>
  <si>
    <t>амортизация, учтенная в тарифах (указать отдельно по регулируемым видам деятельности)</t>
  </si>
  <si>
    <t>Прочие собственные средства всего, в том числе: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</si>
  <si>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</si>
  <si>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</si>
  <si>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</si>
  <si>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</si>
  <si>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***) расшифровка п. 1.3. Возврат НДС:</t>
  </si>
  <si>
    <t>1.3.1.</t>
  </si>
  <si>
    <t>амортизация</t>
  </si>
  <si>
    <t>1.3.2.</t>
  </si>
  <si>
    <t>чистая прибыль</t>
  </si>
  <si>
    <t>1.3.3.</t>
  </si>
  <si>
    <t>прибыль прошлых лет</t>
  </si>
  <si>
    <t>1.3.4.</t>
  </si>
  <si>
    <t>собственные средства</t>
  </si>
  <si>
    <t>****) расшифровка п. 1.4. Прочие собственные средства:</t>
  </si>
  <si>
    <t>1.4.1.</t>
  </si>
  <si>
    <t>реализация ДУЗ (частично)</t>
  </si>
  <si>
    <t>1.4.2.</t>
  </si>
  <si>
    <t>реализация Гагаринская база (частично)</t>
  </si>
  <si>
    <t>Финансовая модель ПАО "Передвижная энрегетика" 2016-2019
(в разрезе каждого юридического лица группы/по конечным видам выпускаемой продукции) 
по годам до 2026 года включительно</t>
  </si>
  <si>
    <t>Выручка</t>
  </si>
  <si>
    <t>электроэнергия</t>
  </si>
  <si>
    <t>теплоэнергия</t>
  </si>
  <si>
    <t>сетевые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</si>
  <si>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</si>
  <si>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</si>
  <si>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</si>
  <si>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</si>
  <si>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</si>
  <si>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</si>
  <si>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 xml:space="preserve">Внереализационные расходы 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</si>
  <si>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</si>
  <si>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</si>
  <si>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</si>
  <si>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</si>
  <si>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Требуются пояснения по величине поступлений по операционному денежному потоку, указанных в форме приложения 4.3. за 2017-2019 год. Показатели на 46-51% больше соответствующих начислений.</t>
  </si>
  <si>
    <t>Поступления</t>
  </si>
  <si>
    <t>производство электроэнергии</t>
  </si>
  <si>
    <t>прочее</t>
  </si>
  <si>
    <t>Прочие доходы</t>
  </si>
  <si>
    <t>субсидии на разницу в тарифах за население</t>
  </si>
  <si>
    <t>Выбытия</t>
  </si>
  <si>
    <t>Платежи по прямой себестоимости</t>
  </si>
  <si>
    <t>Продукт 3</t>
  </si>
  <si>
    <t>Прочие расходы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</si>
  <si>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</si>
  <si>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</si>
  <si>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</si>
  <si>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</si>
  <si>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Выбытия (инвестиции в объекты)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</si>
  <si>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</si>
  <si>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</si>
  <si>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</si>
  <si>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</si>
  <si>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Выбытия ( в т.ч. дивиденды)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</si>
  <si>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</si>
  <si>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</si>
  <si>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</si>
  <si>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</si>
  <si>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 (покрытие дефицита инвестиций: гос инвестиции)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</si>
  <si>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</si>
  <si>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</si>
  <si>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</si>
  <si>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</si>
  <si>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</si>
  <si>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</si>
  <si>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 Блок проверки - форма 4.1. с 4.2.</t>
  </si>
  <si>
    <t>Наименование</t>
  </si>
  <si>
    <t>Комментарии</t>
  </si>
  <si>
    <t>Возмещаемый НДС</t>
  </si>
  <si>
    <t>Информация о величине возмещаемого НДС (приложение 4.1) не соответствует информации о возврате НДС в качестве источника финансирования (приложение 4.2) в 2016 году. Требуются пояснения.</t>
  </si>
  <si>
    <t>I. Блок проверки - форма 4.1. с 4.3.</t>
  </si>
  <si>
    <t>Погашение заемных средств</t>
  </si>
  <si>
    <t>Всего поступления</t>
  </si>
  <si>
    <t>Сумма поступлений (приток, доход) и сумма расходов (отток) по данным указанным в формате приложения 4.1. (строка XVI. и XVII.) не соответствует сумме поступлений по данным указанным в формате приложения 4.3. по всем периодам 2016-2019 год. При этом присутствует также расхождение  в сальдо денежного потока.</t>
  </si>
  <si>
    <t>Всего расходы</t>
  </si>
  <si>
    <t>Долг на конец периода</t>
  </si>
  <si>
    <t>I. Блок проверки - форма 4.3. с 4.1.</t>
  </si>
  <si>
    <t>Несоответствие показателей выручки, себестоимости, операционной прибыли, внереализационных расходов/доходов в приложении 4.3 и 4.1 на периоде 2017-2019. Требуются пояснения. В приложении 4.3 отсутствует информация по внереализаионным доходам. Требуются пояснения.</t>
  </si>
  <si>
    <t>I. Блок проверки - форма 4.3. с 4.2.</t>
  </si>
  <si>
    <t>Выбытия по инвестиционной деятельности</t>
  </si>
  <si>
    <t>Cальдо денежного потока</t>
  </si>
  <si>
    <t>Кредиты на начало-Кредиты на конец-сальдо финансовой деятельности</t>
  </si>
  <si>
    <t>II. Основные показатели</t>
  </si>
  <si>
    <t>Амортизация (4.1.)</t>
  </si>
  <si>
    <t>Чистая прибыль/убыток (4.1.)</t>
  </si>
  <si>
    <t>Выплата дивидендов (4.1.)</t>
  </si>
  <si>
    <t>доля дивидендов в чистой прибыли</t>
  </si>
  <si>
    <t>Пояснить отсутствие выплат по дивидендам в 2017 году (положительная чистая прибыль) и практическое отсутствие выплат дивидендов в 2018 и 2019 годах (менее 1 % чистой прибыли).</t>
  </si>
  <si>
    <t>Остаток денежных средств на начало периода (4.3.)</t>
  </si>
  <si>
    <t>проверка</t>
  </si>
  <si>
    <t>Сальдо денежного потока от операционной деятельности (4.3.)</t>
  </si>
  <si>
    <t>Сальдо денежного потока от инвестиционной деятельности (4.3.)</t>
  </si>
  <si>
    <t>Сальдо денежного потока от финансовой деятельности (4.3.)</t>
  </si>
  <si>
    <t>погашение кредитов и займов (4.3.)</t>
  </si>
  <si>
    <t>в  том числе на ИПР (4.1.)</t>
  </si>
  <si>
    <t>привлечение кредитов и займов (4.3.)</t>
  </si>
  <si>
    <t>Debt (4.1.)</t>
  </si>
  <si>
    <t>Ebitda (4.1.)</t>
  </si>
  <si>
    <t>Debt/Ebitda</t>
  </si>
  <si>
    <t>Поступления всего (4.1.)</t>
  </si>
  <si>
    <t>Расходы всего (4.1.)</t>
  </si>
  <si>
    <t>Приток (4.3.)</t>
  </si>
  <si>
    <t>Отток (4.3.)</t>
  </si>
  <si>
    <t>Проверка: сальдо с остатком на конец периода</t>
  </si>
  <si>
    <t>Проверка: сальдо с сальдо</t>
  </si>
  <si>
    <t>III. Расчет объемов финансирования ИПР</t>
  </si>
  <si>
    <t>Доступный объем амортизации</t>
  </si>
  <si>
    <t>Доступный объем амортизации (дивиденды 25%)</t>
  </si>
  <si>
    <t>Собственный источник финансирования (FCF)</t>
  </si>
  <si>
    <t>Собственный источник финансирования (дивиденды 25%)</t>
  </si>
  <si>
    <t>разница</t>
  </si>
  <si>
    <t>Собственный источник финансирования с учетом кредитов (FCF_D)</t>
  </si>
  <si>
    <t>Достпуный собственный источник финансирования</t>
  </si>
  <si>
    <t>Достпуный собственный источник финансирования (дивиденды 25%)</t>
  </si>
  <si>
    <t>Возможное дополнительное привлечение (3.0)</t>
  </si>
  <si>
    <t>Дивиденды, выплачиваемые в  2016 г.=</t>
  </si>
  <si>
    <t>Чистая прибыль 2015г.=</t>
  </si>
  <si>
    <t>нд</t>
  </si>
  <si>
    <t>III. Заявленные объемы ИПР</t>
  </si>
  <si>
    <t>Всего объем финансирования ИПР (4.2.)</t>
  </si>
  <si>
    <t>Пояснить снижение объемов финансирования инвестиционной программы в 2016 году на 20%, в 2017 году на 5 % и рост в 2018 году на 11 % относительно утвержденного Минэнерго России объема финансирования.</t>
  </si>
  <si>
    <t>в том числе собственные средства (4.2.)</t>
  </si>
  <si>
    <t>в том числе амортизация (4.2.)</t>
  </si>
  <si>
    <t>в том числе привлеченные средства (4.2.)</t>
  </si>
  <si>
    <t>в том числе кредиты и займы (4.2.)</t>
  </si>
  <si>
    <t>доля собственных</t>
  </si>
  <si>
    <t>доля привлеченных</t>
  </si>
  <si>
    <t>Утвержденный объем финансирования ИПР</t>
  </si>
  <si>
    <t>Пояснить увеличение объема финансирования инвестиционной программы на порядка 30% относительно утвержденного Минэнерго России объема финансирования на 2017 год.</t>
  </si>
  <si>
    <t>Разница</t>
  </si>
  <si>
    <t>Разница амортизация-источник и амортизация обеспеченная денежным потоком</t>
  </si>
  <si>
    <t>Требуются пояснения по источнику финансирования инвестиционной программы за счет амортизации в объемах меньше, чем объемы амортизации обеспеченные денежным потоком за период 2016-2019 год.</t>
  </si>
  <si>
    <t>амортизация-амортизация ИПР</t>
  </si>
  <si>
    <t>Разница между заявленными объемами собственных средств и расчетом собственных средств</t>
  </si>
  <si>
    <t>На основании информации по остаткам денежных средств на начало периода, сальдо денежного потока от операционной деятельности, погашения/привлечения долговой нагрузки, представленной в приложении 4.3, доступный объем финансирования инвестиционной программы на период  2016-2019 годов за счет собственных средств возможен в следующих объемах (с учетом выплаты дивидендов в размере 25 % от чистой прибыли): на 2016 год - порядка 180 млн рублей, на 2017 год - порядка 338 млн рублей, на 2018 год - порядка 313 млн рублей, на 2019 год - порядка 283 млн рублей. Исходя из чего возможно сделать следующий вывод: финансирование инвестиционной программы в заявленном объеме на период 2017-2019 год обеспечено собственными источниками финансирования без необходимости привлечения кредитов и займов; на 2016 год возможно профинансировать инвестиционную программу за счет собственных средств в размере не более 180 млн руб, в том числе за счет амортизационных отчислений, обеспеченных денежным потоком. Привлечение заменых средств для финансирования инвестиционной программы на 2016 год возможен исходя из соотношения долговой нагрузки и показателей финансовых ковенант, однако требуется обоснование по данному привлечению с точки зрения мероприятий инвестиционной программы.</t>
  </si>
  <si>
    <t>Разница между заявленными объемами финансирования и расчетом собственных средств</t>
  </si>
  <si>
    <t>IV. Динамика показателей</t>
  </si>
  <si>
    <t>Выручка (4.1.)</t>
  </si>
  <si>
    <t>Необходима расшифровка динамики изменения затрат на покупную э/э в 2017 году (рост на 9 % ).</t>
  </si>
  <si>
    <t>Себестоимость (4.1.)</t>
  </si>
  <si>
    <t>Материальные расходы (4.1.)</t>
  </si>
  <si>
    <t>Покупная э/э (4.1.)</t>
  </si>
  <si>
    <t>ФОТ (4.1.)</t>
  </si>
  <si>
    <t>Доля сальдо дебиторской задолженности в объеме выручки</t>
  </si>
  <si>
    <t>На основании изложенного Минэнерго России считает возможным согласование финансирования инвестиционной программы в заявленных объемах по результатам предоставления дополнительной информации и устранения замечаний.</t>
  </si>
  <si>
    <t>1.1.1.</t>
  </si>
  <si>
    <t>1.1.2.</t>
  </si>
  <si>
    <t>1.1.3.</t>
  </si>
  <si>
    <t>1.1.4.</t>
  </si>
  <si>
    <t>1.2.1.</t>
  </si>
  <si>
    <t>1.2.2.</t>
  </si>
  <si>
    <t>1.2.3.</t>
  </si>
  <si>
    <t>1.4.</t>
  </si>
  <si>
    <t>1.5.</t>
  </si>
  <si>
    <t>2.2.</t>
  </si>
  <si>
    <t>2.3.</t>
  </si>
  <si>
    <t>2.4.</t>
  </si>
  <si>
    <t>2.5.</t>
  </si>
  <si>
    <t>2.6.</t>
  </si>
  <si>
    <t>2.7.</t>
  </si>
  <si>
    <r>
      <rPr>
        <b/>
        <sz val="12"/>
        <rFont val="Times New Roman"/>
        <family val="1"/>
      </rPr>
      <t>№№</t>
    </r>
  </si>
  <si>
    <r>
      <rPr>
        <b/>
        <sz val="12"/>
        <rFont val="Times New Roman"/>
        <family val="1"/>
      </rPr>
      <t>Источник финансирования</t>
    </r>
  </si>
  <si>
    <r>
      <rPr>
        <b/>
        <sz val="12"/>
        <rFont val="Times New Roman"/>
        <family val="1"/>
      </rPr>
      <t>План 2016</t>
    </r>
  </si>
  <si>
    <r>
      <rPr>
        <b/>
        <sz val="12"/>
        <rFont val="Times New Roman"/>
        <family val="1"/>
      </rPr>
      <t>План 2017</t>
    </r>
  </si>
  <si>
    <r>
      <rPr>
        <b/>
        <sz val="12"/>
        <rFont val="Times New Roman"/>
        <family val="1"/>
      </rPr>
      <t>План 2018</t>
    </r>
  </si>
  <si>
    <r>
      <rPr>
        <b/>
        <sz val="12"/>
        <rFont val="Times New Roman"/>
        <family val="1"/>
      </rPr>
      <t>План 2019</t>
    </r>
  </si>
  <si>
    <t>Итого (за период реализации инвестиционной программы)</t>
  </si>
  <si>
    <r>
      <rPr>
        <b/>
        <sz val="12"/>
        <rFont val="Times New Roman"/>
        <family val="1"/>
      </rPr>
      <t>I.</t>
    </r>
  </si>
  <si>
    <r>
      <rPr>
        <b/>
        <sz val="12"/>
        <rFont val="Times New Roman"/>
        <family val="1"/>
      </rPr>
      <t>ВСЕГО источников финансирования</t>
    </r>
  </si>
  <si>
    <t>Собственные средства всего, в т.ч.:</t>
  </si>
  <si>
    <t>Прибыль, направляемая на инвестиции, в т.ч.:</t>
  </si>
  <si>
    <t>от технологического присоединения</t>
  </si>
  <si>
    <t>прочая прибыль</t>
  </si>
  <si>
    <t>чистая прибыль предыдущего периода</t>
  </si>
  <si>
    <t>недоиспользованный остаток чистой прибыли прошлых лет</t>
  </si>
  <si>
    <t>Амортизация всего, в т.ч.:</t>
  </si>
  <si>
    <t>амортизация по виду деятельности "производство и реализация электроэнергии" (без учета БилАЭС), в т.ч.:</t>
  </si>
  <si>
    <t>по действующим АЭС*</t>
  </si>
  <si>
    <t>по новым э/б АЭС*</t>
  </si>
  <si>
    <t>прочая амортизация (в том числе по виду д-ти теплоэнергия, с учетом БилАЭС)</t>
  </si>
  <si>
    <t>1.2.4.</t>
  </si>
  <si>
    <t>Прочие собственные средства всего, в т.ч.:</t>
  </si>
  <si>
    <t>резерв развития, в т.ч.:</t>
  </si>
  <si>
    <t>резерв развития текущего года</t>
  </si>
  <si>
    <t>недоиспользованный резерв развития предыдущих лет</t>
  </si>
  <si>
    <t>1.4.3.</t>
  </si>
  <si>
    <t>финансирование в рамках текущей деятельности</t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</si>
  <si>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</si>
  <si>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Привлеченные средства всего, в т.ч.:</t>
    </r>
  </si>
  <si>
    <r>
      <rPr>
        <b/>
        <sz val="12"/>
        <rFont val="Times New Roman"/>
        <family val="1"/>
      </rPr>
      <t>II.</t>
    </r>
  </si>
  <si>
    <r>
      <rPr>
        <b/>
        <sz val="12"/>
        <rFont val="Times New Roman"/>
        <family val="1"/>
      </rPr>
      <t>ВСЕГО потребность в финансировании</t>
    </r>
  </si>
  <si>
    <r>
      <rPr>
        <b/>
        <sz val="12"/>
        <rFont val="Times New Roman"/>
        <family val="1"/>
      </rPr>
      <t>III.</t>
    </r>
  </si>
  <si>
    <r>
      <rPr>
        <b/>
        <sz val="12"/>
        <rFont val="Times New Roman"/>
        <family val="1"/>
      </rPr>
      <t>ВСЕГО дефицит</t>
    </r>
  </si>
  <si>
    <t>Итого за период реализации инвестиционной программы</t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</si>
  <si>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</si>
  <si>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</si>
  <si>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</si>
  <si>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</si>
  <si>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</si>
  <si>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</si>
  <si>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</si>
  <si>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</si>
  <si>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</si>
  <si>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</si>
  <si>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</si>
  <si>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БЮДЖЕТ ДОХОДОВ И РАСХОДОВ</t>
  </si>
  <si>
    <t>БЮДЖЕТ ДВИЖЕНИЯ ДЕНЕЖНЫХ СРЕДСТВ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</si>
  <si>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</si>
  <si>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</si>
  <si>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</si>
  <si>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</si>
  <si>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</si>
  <si>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</si>
  <si>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</si>
  <si>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</si>
  <si>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</si>
  <si>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</si>
  <si>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</si>
  <si>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</si>
  <si>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</si>
  <si>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</si>
  <si>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</si>
  <si>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</si>
  <si>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</si>
  <si>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</si>
  <si>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</si>
  <si>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</si>
  <si>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</si>
  <si>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</si>
  <si>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</si>
  <si>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</si>
  <si>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</si>
  <si>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</si>
  <si>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</si>
  <si>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</si>
  <si>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</si>
  <si>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</si>
  <si>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</si>
  <si>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</si>
  <si>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</si>
  <si>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</si>
  <si>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</si>
  <si>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</si>
  <si>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</si>
  <si>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ТЕХНИКО-ЭКОНОМИЧЕСКИЕ ПОКАЗАТЕЛИ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</si>
  <si>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</si>
  <si>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</si>
  <si>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</si>
  <si>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</si>
  <si>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</si>
  <si>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</si>
  <si>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</si>
  <si>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</si>
  <si>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</si>
  <si>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</si>
  <si>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</si>
  <si>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</si>
  <si>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</si>
  <si>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</si>
  <si>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</si>
  <si>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</si>
  <si>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</si>
  <si>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</si>
  <si>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</si>
  <si>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</si>
  <si>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</si>
  <si>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</si>
  <si>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</si>
  <si>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</si>
  <si>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</si>
  <si>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</si>
  <si>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</si>
  <si>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</si>
  <si>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</si>
  <si>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</si>
  <si>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</si>
  <si>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</si>
  <si>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</si>
  <si>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</si>
  <si>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</si>
  <si>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 xml:space="preserve">    реквизиты решения органа исполнительной власти, утвердившего инвестиционную программу</t>
  </si>
  <si>
    <t xml:space="preserve">                          полное наименование субъекта электроэнергетики</t>
  </si>
  <si>
    <t>План (Утвержденный план)</t>
  </si>
  <si>
    <t>Ед. изм.</t>
  </si>
  <si>
    <t>покупная тепловая энергия (мощность)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</si>
  <si>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</si>
  <si>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</si>
  <si>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</si>
  <si>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</si>
  <si>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</si>
  <si>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</si>
  <si>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</si>
  <si>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</si>
  <si>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</si>
  <si>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</si>
  <si>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</si>
  <si>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</si>
  <si>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</si>
  <si>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</si>
  <si>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</si>
  <si>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</si>
  <si>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</si>
  <si>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</si>
  <si>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</si>
  <si>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</si>
  <si>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</si>
  <si>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</si>
  <si>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</si>
  <si>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</si>
  <si>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</si>
  <si>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</si>
  <si>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</si>
  <si>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</si>
  <si>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</si>
  <si>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</si>
  <si>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</si>
  <si>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</si>
  <si>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</si>
  <si>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</si>
  <si>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</si>
  <si>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</si>
  <si>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</si>
  <si>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</si>
  <si>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</si>
  <si>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</si>
  <si>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</si>
  <si>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</si>
  <si>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</si>
  <si>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</si>
  <si>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</si>
  <si>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</si>
  <si>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</si>
  <si>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</si>
  <si>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</si>
  <si>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</si>
  <si>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</si>
  <si>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</si>
  <si>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</si>
  <si>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</si>
  <si>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</si>
  <si>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</si>
  <si>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</si>
  <si>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</si>
  <si>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</si>
  <si>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15.3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</si>
  <si>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</si>
  <si>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</si>
  <si>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</si>
  <si>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</si>
  <si>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</si>
  <si>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</si>
  <si>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</si>
  <si>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</si>
  <si>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</si>
  <si>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</si>
  <si>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</si>
  <si>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</si>
  <si>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</si>
  <si>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</si>
  <si>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</si>
  <si>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</si>
  <si>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</si>
  <si>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</si>
  <si>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</si>
  <si>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</si>
  <si>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</si>
  <si>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</si>
  <si>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</si>
  <si>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</si>
  <si>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</si>
  <si>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</si>
  <si>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</si>
  <si>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</si>
  <si>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</si>
  <si>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</si>
  <si>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</si>
  <si>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</si>
  <si>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</si>
  <si>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</si>
  <si>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</si>
  <si>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</si>
  <si>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</si>
  <si>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</si>
  <si>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</si>
  <si>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</si>
  <si>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</si>
  <si>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</si>
  <si>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</si>
  <si>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</si>
  <si>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</si>
  <si>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</si>
  <si>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</si>
  <si>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</si>
  <si>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</si>
  <si>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</si>
  <si>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</si>
  <si>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</si>
  <si>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</si>
  <si>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</si>
  <si>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</si>
  <si>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</si>
  <si>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</si>
  <si>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</si>
  <si>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</si>
  <si>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</si>
  <si>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</si>
  <si>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</si>
  <si>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</si>
  <si>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</si>
  <si>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</si>
  <si>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</si>
  <si>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</si>
  <si>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</si>
  <si>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</si>
  <si>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</si>
  <si>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</si>
  <si>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</si>
  <si>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</si>
  <si>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</si>
  <si>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</si>
  <si>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</si>
  <si>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</si>
  <si>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</si>
  <si>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</si>
  <si>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</si>
  <si>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</si>
  <si>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</si>
  <si>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</si>
  <si>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</si>
  <si>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</si>
  <si>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</si>
  <si>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</si>
  <si>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</si>
  <si>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</si>
  <si>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</si>
  <si>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</si>
  <si>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</si>
  <si>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</si>
  <si>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</si>
  <si>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</si>
  <si>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</si>
  <si>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</si>
  <si>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</si>
  <si>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</si>
  <si>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</si>
  <si>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</si>
  <si>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</si>
  <si>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</si>
  <si>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</si>
  <si>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</si>
  <si>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</si>
  <si>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</si>
  <si>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</si>
  <si>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</si>
  <si>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</si>
  <si>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</si>
  <si>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</si>
  <si>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</si>
  <si>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</si>
  <si>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</si>
  <si>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</si>
  <si>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</si>
  <si>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</si>
  <si>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</si>
  <si>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</si>
  <si>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</si>
  <si>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</si>
  <si>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</si>
  <si>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</si>
  <si>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</si>
  <si>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</si>
  <si>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</si>
  <si>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</si>
  <si>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</si>
  <si>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</si>
  <si>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</si>
  <si>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</si>
  <si>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</si>
  <si>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</si>
  <si>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</si>
  <si>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</si>
  <si>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</si>
  <si>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</si>
  <si>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</si>
  <si>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</si>
  <si>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</si>
  <si>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Примечание: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</si>
  <si>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</si>
  <si>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</si>
  <si>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</si>
  <si>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</si>
  <si>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</si>
  <si>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</si>
  <si>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</si>
  <si>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</si>
  <si>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</si>
  <si>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</si>
  <si>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</si>
  <si>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</si>
  <si>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</si>
  <si>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Прочая деятельность;</t>
  </si>
  <si>
    <t>Расходы на оплату труда с учетом страховых взносов</t>
  </si>
  <si>
    <t>Амортизация основных средств и нематериальных активов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</si>
  <si>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</si>
  <si>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</si>
  <si>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</si>
  <si>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</si>
  <si>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</si>
  <si>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</si>
  <si>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</si>
  <si>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</si>
  <si>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</si>
  <si>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</si>
  <si>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</si>
  <si>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</si>
  <si>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</si>
  <si>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</si>
  <si>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</si>
  <si>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</si>
  <si>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</si>
  <si>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</si>
  <si>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</si>
  <si>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</si>
  <si>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</si>
  <si>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</si>
  <si>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</si>
  <si>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</si>
  <si>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</si>
  <si>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</si>
  <si>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</si>
  <si>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</si>
  <si>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</si>
  <si>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</si>
  <si>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</si>
  <si>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</si>
  <si>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</si>
  <si>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</si>
  <si>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</si>
  <si>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</si>
  <si>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</si>
  <si>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</si>
  <si>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</si>
  <si>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</si>
  <si>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</si>
  <si>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</si>
  <si>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</si>
  <si>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</si>
  <si>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</si>
  <si>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</si>
  <si>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</si>
  <si>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</si>
  <si>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</si>
  <si>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</si>
  <si>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</si>
  <si>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</si>
  <si>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</si>
  <si>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</si>
  <si>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</si>
  <si>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</si>
  <si>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</si>
  <si>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</si>
  <si>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</si>
  <si>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</si>
  <si>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</si>
  <si>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</si>
  <si>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</si>
  <si>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</si>
  <si>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</si>
  <si>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</si>
  <si>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</si>
  <si>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</si>
  <si>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</si>
  <si>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</si>
  <si>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</si>
  <si>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</si>
  <si>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</si>
  <si>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</si>
  <si>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</si>
  <si>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</si>
  <si>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</si>
  <si>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</si>
  <si>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</si>
  <si>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</si>
  <si>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</si>
  <si>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</si>
  <si>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производство и поставка электрической энергии на оптовом рынке электрической энергиии и мощности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</si>
  <si>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</si>
  <si>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</si>
  <si>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</si>
  <si>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</si>
  <si>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</si>
  <si>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</si>
  <si>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</si>
  <si>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</si>
  <si>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</si>
  <si>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</si>
  <si>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 xml:space="preserve">1. Финансово-экономическая модель деятельности субъекта электроэнергетики </t>
  </si>
  <si>
    <t>23.2.9</t>
  </si>
  <si>
    <t>прочая кредиторская задолженность</t>
  </si>
  <si>
    <t>23.2.9.а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</si>
  <si>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</si>
  <si>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Поступления от эмиссии акций**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</si>
  <si>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</si>
  <si>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</si>
  <si>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</si>
  <si>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</si>
  <si>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</si>
  <si>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</si>
  <si>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</si>
  <si>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</si>
  <si>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</si>
  <si>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</si>
  <si>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</si>
  <si>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</si>
  <si>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</si>
  <si>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</si>
  <si>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</si>
  <si>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</si>
  <si>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покупная энергия, в том числе: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</si>
  <si>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</si>
  <si>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</si>
  <si>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</si>
  <si>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</si>
  <si>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</si>
  <si>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</si>
  <si>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</si>
  <si>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</si>
  <si>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</si>
  <si>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</si>
  <si>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</si>
  <si>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</si>
  <si>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Производство и поставка электрической энергии на оптовом рынке электрической энергии и мощности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</si>
  <si>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</si>
  <si>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</si>
  <si>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</si>
  <si>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</si>
  <si>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</si>
  <si>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</si>
  <si>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</si>
  <si>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</si>
  <si>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</si>
  <si>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</si>
  <si>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</si>
  <si>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</si>
  <si>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</si>
  <si>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</si>
  <si>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</si>
  <si>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>Инвестиционная программа Общество с ограниченой ответственностью "Продвижение"</t>
  </si>
  <si>
    <t xml:space="preserve">Субъект Российской Федерации: Челябинская область </t>
  </si>
  <si>
    <t xml:space="preserve">План </t>
  </si>
  <si>
    <t>5</t>
  </si>
  <si>
    <t>7</t>
  </si>
  <si>
    <t>9</t>
  </si>
  <si>
    <t>11</t>
  </si>
  <si>
    <t>Год 2019</t>
  </si>
  <si>
    <t>Год 2020</t>
  </si>
  <si>
    <t>Год  2021</t>
  </si>
  <si>
    <t>Год 2018</t>
  </si>
  <si>
    <t>Факт</t>
  </si>
  <si>
    <t>План</t>
  </si>
  <si>
    <t xml:space="preserve">                    Год раскрытия (предоставления) информации: 2020 год</t>
  </si>
  <si>
    <t>Утвержденные плановые  значения показателей приведены в соответствии  с Поставновлением №66/5 от 30.10.2018, №80/8 от 29.10.19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</si>
</sst>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_ ;\-#,##0\ "/>
    <numFmt numFmtId="183" formatCode="_-* #,##0.00[$€-1]_-;\-* #,##0.00[$€-1]_-;_-* &quot;-&quot;??[$€-1]_-"/>
    <numFmt numFmtId="184" formatCode="#,##0.0000000000000"/>
    <numFmt numFmtId="185" formatCode="#,##0.000000000000"/>
    <numFmt numFmtId="186" formatCode="#,##0.0"/>
    <numFmt numFmtId="187" formatCode="#,##0.000"/>
    <numFmt numFmtId="188" formatCode="_-* #,##0.000_р_._-;\-* #,##0.000_р_._-;_-* &quot;-&quot;???_р_._-;_-@_-"/>
    <numFmt numFmtId="189" formatCode="_-* #,##0.000000000000_р_._-;\-* #,##0.000000000000_р_._-;_-* &quot;-&quot;????????????_р_._-;_-@_-"/>
    <numFmt numFmtId="190" formatCode="0.0"/>
    <numFmt numFmtId="191" formatCode="0.000"/>
    <numFmt numFmtId="192" formatCode="_-* #,##0_р_._-;\-* #,##0_р_._-;_-* &quot;-&quot;??_р_._-;_-@_-"/>
    <numFmt numFmtId="193" formatCode="_-* #,##0.0_р_._-;\-* #,##0.0_р_._-;_-* &quot;-&quot;??_р_._-;_-@_-"/>
    <numFmt numFmtId="194" formatCode="#,##0_р_."/>
    <numFmt numFmtId="195" formatCode="0.0%"/>
    <numFmt numFmtId="196" formatCode="_-* #,##0\ _₽_-;\-* #,##0\ _₽_-;_-* &quot;-&quot;??\ _₽_-;_-@_-"/>
    <numFmt numFmtId="197" formatCode="_(* #,##0.00_);_(* \(#,##0.00\);_(* &quot;-&quot;??_);_(@_)"/>
    <numFmt numFmtId="198" formatCode="_-* #,##0.0000_р_._-;\-* #,##0.0000_р_._-;_-* &quot;-&quot;??_р_._-;_-@_-"/>
    <numFmt numFmtId="199" formatCode="_-* #,##0.000_р_._-;\-* #,##0.000_р_._-;_-* &quot;-&quot;??_р_._-;_-@_-"/>
    <numFmt numFmtId="200" formatCode="_-* #,##0.00000_р_._-;\-* #,##0.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0.0000000"/>
    <numFmt numFmtId="207" formatCode="0.000000"/>
    <numFmt numFmtId="208" formatCode="0.00000"/>
    <numFmt numFmtId="209" formatCode="0.0000"/>
    <numFmt numFmtId="210" formatCode="0.00000000"/>
    <numFmt numFmtId="211" formatCode="_-* #,##0.000\ _₽_-;\-* #,##0.000\ _₽_-;_-* &quot;-&quot;???\ _₽_-;_-@_-"/>
    <numFmt numFmtId="212" formatCode="#,##0.0000"/>
    <numFmt numFmtId="213" formatCode="_-* #,##0.00\ _₽_-;\-* #,##0.00\ _₽_-;_-* &quot;-&quot;???\ _₽_-;_-@_-"/>
    <numFmt numFmtId="214" formatCode="_-* #,##0.0000\ _₽_-;\-* #,##0.0000\ _₽_-;_-* &quot;-&quot;????\ _₽_-;_-@_-"/>
    <numFmt numFmtId="215" formatCode="_-* #,##0.0000\ _₽_-;\-* #,##0.0000\ _₽_-;_-* &quot;-&quot;???\ _₽_-;_-@_-"/>
    <numFmt numFmtId="216" formatCode="_-* #,##0.0\ _₽_-;\-* #,##0.0\ _₽_-;_-* &quot;-&quot;???\ _₽_-;_-@_-"/>
    <numFmt numFmtId="217" formatCode="_-* #,##0.00000\ _₽_-;\-* #,##0.00000\ _₽_-;_-* &quot;-&quot;?????\ _₽_-;_-@_-"/>
    <numFmt numFmtId="218" formatCode="_-* #,##0.0\ _₽_-;\-* #,##0.0\ _₽_-;_-* &quot;-&quot;??\ _₽_-;_-@_-"/>
    <numFmt numFmtId="219" formatCode="#,##0.000_ ;\-#,##0.000\ "/>
    <numFmt numFmtId="220" formatCode="#,##0.0000_ ;\-#,##0.0000\ "/>
    <numFmt numFmtId="221" formatCode="#,##0.00000_ ;\-#,##0.00000\ "/>
    <numFmt numFmtId="222" formatCode="#,##0.00_ ;\-#,##0.00\ 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 Cyr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3"/>
      <color indexed="8"/>
      <name val="Times New Roman"/>
      <family val="1"/>
    </font>
    <font>
      <sz val="12"/>
      <name val="Arial"/>
      <family val="2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60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7.7"/>
      <color indexed="12"/>
      <name val="Calibri"/>
      <family val="2"/>
    </font>
    <font>
      <sz val="11"/>
      <color indexed="8"/>
      <name val="SimSun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 tint="0.04998999834060669"/>
      <name val="Times New Roman"/>
      <family val="1"/>
    </font>
    <font>
      <sz val="14"/>
      <color theme="1" tint="0.04998999834060669"/>
      <name val="Times New Roman"/>
      <family val="1"/>
    </font>
    <font>
      <sz val="9"/>
      <color theme="1" tint="0.04998999834060669"/>
      <name val="Times New Roman"/>
      <family val="1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71" fillId="19" borderId="0" applyNumberFormat="0" applyBorder="0" applyAlignment="0" applyProtection="0"/>
    <xf numFmtId="0" fontId="7" fillId="20" borderId="0" applyNumberFormat="0" applyBorder="0" applyAlignment="0" applyProtection="0"/>
    <xf numFmtId="0" fontId="71" fillId="21" borderId="0" applyNumberFormat="0" applyBorder="0" applyAlignment="0" applyProtection="0"/>
    <xf numFmtId="0" fontId="7" fillId="13" borderId="0" applyNumberFormat="0" applyBorder="0" applyAlignment="0" applyProtection="0"/>
    <xf numFmtId="0" fontId="71" fillId="14" borderId="0" applyNumberFormat="0" applyBorder="0" applyAlignment="0" applyProtection="0"/>
    <xf numFmtId="0" fontId="7" fillId="14" borderId="0" applyNumberFormat="0" applyBorder="0" applyAlignment="0" applyProtection="0"/>
    <xf numFmtId="0" fontId="71" fillId="22" borderId="0" applyNumberFormat="0" applyBorder="0" applyAlignment="0" applyProtection="0"/>
    <xf numFmtId="0" fontId="7" fillId="22" borderId="0" applyNumberFormat="0" applyBorder="0" applyAlignment="0" applyProtection="0"/>
    <xf numFmtId="0" fontId="71" fillId="23" borderId="0" applyNumberFormat="0" applyBorder="0" applyAlignment="0" applyProtection="0"/>
    <xf numFmtId="0" fontId="7" fillId="24" borderId="0" applyNumberFormat="0" applyBorder="0" applyAlignment="0" applyProtection="0"/>
    <xf numFmtId="0" fontId="71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>
      <alignment/>
      <protection/>
    </xf>
    <xf numFmtId="0" fontId="71" fillId="26" borderId="0" applyNumberFormat="0" applyBorder="0" applyAlignment="0" applyProtection="0"/>
    <xf numFmtId="0" fontId="7" fillId="27" borderId="0" applyNumberFormat="0" applyBorder="0" applyAlignment="0" applyProtection="0"/>
    <xf numFmtId="0" fontId="71" fillId="28" borderId="0" applyNumberFormat="0" applyBorder="0" applyAlignment="0" applyProtection="0"/>
    <xf numFmtId="0" fontId="7" fillId="29" borderId="0" applyNumberFormat="0" applyBorder="0" applyAlignment="0" applyProtection="0"/>
    <xf numFmtId="0" fontId="71" fillId="30" borderId="0" applyNumberFormat="0" applyBorder="0" applyAlignment="0" applyProtection="0"/>
    <xf numFmtId="0" fontId="7" fillId="31" borderId="0" applyNumberFormat="0" applyBorder="0" applyAlignment="0" applyProtection="0"/>
    <xf numFmtId="0" fontId="71" fillId="32" borderId="0" applyNumberFormat="0" applyBorder="0" applyAlignment="0" applyProtection="0"/>
    <xf numFmtId="0" fontId="7" fillId="22" borderId="0" applyNumberFormat="0" applyBorder="0" applyAlignment="0" applyProtection="0"/>
    <xf numFmtId="0" fontId="71" fillId="33" borderId="0" applyNumberFormat="0" applyBorder="0" applyAlignment="0" applyProtection="0"/>
    <xf numFmtId="0" fontId="7" fillId="24" borderId="0" applyNumberFormat="0" applyBorder="0" applyAlignment="0" applyProtection="0"/>
    <xf numFmtId="0" fontId="71" fillId="34" borderId="0" applyNumberFormat="0" applyBorder="0" applyAlignment="0" applyProtection="0"/>
    <xf numFmtId="0" fontId="7" fillId="35" borderId="0" applyNumberFormat="0" applyBorder="0" applyAlignment="0" applyProtection="0"/>
    <xf numFmtId="0" fontId="72" fillId="36" borderId="1" applyNumberFormat="0" applyAlignment="0" applyProtection="0"/>
    <xf numFmtId="0" fontId="9" fillId="9" borderId="2" applyNumberFormat="0" applyAlignment="0" applyProtection="0"/>
    <xf numFmtId="0" fontId="73" fillId="37" borderId="3" applyNumberFormat="0" applyAlignment="0" applyProtection="0"/>
    <xf numFmtId="0" fontId="10" fillId="38" borderId="4" applyNumberFormat="0" applyAlignment="0" applyProtection="0"/>
    <xf numFmtId="0" fontId="74" fillId="37" borderId="1" applyNumberFormat="0" applyAlignment="0" applyProtection="0"/>
    <xf numFmtId="0" fontId="11" fillId="38" borderId="2" applyNumberFormat="0" applyAlignment="0" applyProtection="0"/>
    <xf numFmtId="0" fontId="7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6" fillId="0" borderId="5" applyNumberFormat="0" applyFill="0" applyAlignment="0" applyProtection="0"/>
    <xf numFmtId="0" fontId="12" fillId="0" borderId="6" applyNumberFormat="0" applyFill="0" applyAlignment="0" applyProtection="0"/>
    <xf numFmtId="0" fontId="77" fillId="0" borderId="7" applyNumberFormat="0" applyFill="0" applyAlignment="0" applyProtection="0"/>
    <xf numFmtId="0" fontId="13" fillId="0" borderId="8" applyNumberFormat="0" applyFill="0" applyAlignment="0" applyProtection="0"/>
    <xf numFmtId="0" fontId="78" fillId="0" borderId="9" applyNumberFormat="0" applyFill="0" applyAlignment="0" applyProtection="0"/>
    <xf numFmtId="0" fontId="14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11" applyNumberFormat="0" applyFill="0" applyAlignment="0" applyProtection="0"/>
    <xf numFmtId="0" fontId="15" fillId="0" borderId="12" applyNumberFormat="0" applyFill="0" applyAlignment="0" applyProtection="0"/>
    <xf numFmtId="0" fontId="80" fillId="39" borderId="13" applyNumberFormat="0" applyAlignment="0" applyProtection="0"/>
    <xf numFmtId="0" fontId="16" fillId="40" borderId="14" applyNumberFormat="0" applyAlignment="0" applyProtection="0"/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41" borderId="0" applyNumberFormat="0" applyBorder="0" applyAlignment="0" applyProtection="0"/>
    <xf numFmtId="0" fontId="18" fillId="42" borderId="0" applyNumberFormat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4" fillId="0" borderId="0" applyNumberFormat="0" applyFill="0" applyBorder="0" applyAlignment="0" applyProtection="0"/>
    <xf numFmtId="0" fontId="85" fillId="43" borderId="0" applyNumberFormat="0" applyBorder="0" applyAlignment="0" applyProtection="0"/>
    <xf numFmtId="0" fontId="20" fillId="3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7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1" fillId="0" borderId="0" applyFont="0" applyFill="0" applyBorder="0" applyAlignment="0" applyProtection="0"/>
    <xf numFmtId="173" fontId="40" fillId="0" borderId="0" applyFont="0" applyFill="0" applyBorder="0" applyAlignment="0" applyProtection="0"/>
    <xf numFmtId="181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9" fillId="46" borderId="0" applyNumberFormat="0" applyBorder="0" applyAlignment="0" applyProtection="0"/>
    <xf numFmtId="0" fontId="25" fillId="4" borderId="0" applyNumberFormat="0" applyBorder="0" applyAlignment="0" applyProtection="0"/>
  </cellStyleXfs>
  <cellXfs count="475">
    <xf numFmtId="0" fontId="0" fillId="0" borderId="0" xfId="0" applyFont="1" applyAlignment="1">
      <alignment/>
    </xf>
    <xf numFmtId="0" fontId="28" fillId="0" borderId="19" xfId="0" applyFont="1" applyBorder="1" applyAlignment="1">
      <alignment horizontal="left"/>
    </xf>
    <xf numFmtId="0" fontId="28" fillId="0" borderId="19" xfId="0" applyFont="1" applyBorder="1" applyAlignment="1">
      <alignment/>
    </xf>
    <xf numFmtId="186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wrapText="1"/>
    </xf>
    <xf numFmtId="186" fontId="29" fillId="0" borderId="21" xfId="0" applyNumberFormat="1" applyFont="1" applyBorder="1" applyAlignment="1">
      <alignment horizontal="center"/>
    </xf>
    <xf numFmtId="0" fontId="29" fillId="0" borderId="20" xfId="0" applyFont="1" applyBorder="1" applyAlignment="1">
      <alignment horizontal="left" vertical="center" wrapText="1"/>
    </xf>
    <xf numFmtId="186" fontId="29" fillId="0" borderId="21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left" vertical="center" wrapText="1"/>
    </xf>
    <xf numFmtId="0" fontId="28" fillId="0" borderId="19" xfId="0" applyFont="1" applyBorder="1" applyAlignment="1">
      <alignment horizontal="center"/>
    </xf>
    <xf numFmtId="186" fontId="29" fillId="0" borderId="19" xfId="138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/>
    </xf>
    <xf numFmtId="0" fontId="29" fillId="0" borderId="20" xfId="110" applyFont="1" applyBorder="1" applyAlignment="1">
      <alignment horizontal="left" vertical="top" wrapText="1"/>
      <protection/>
    </xf>
    <xf numFmtId="186" fontId="29" fillId="0" borderId="20" xfId="138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 vertical="center" wrapText="1"/>
    </xf>
    <xf numFmtId="0" fontId="29" fillId="0" borderId="20" xfId="110" applyFont="1" applyBorder="1" applyAlignment="1">
      <alignment horizontal="left" vertical="top" wrapText="1" indent="3"/>
      <protection/>
    </xf>
    <xf numFmtId="0" fontId="29" fillId="0" borderId="20" xfId="110" applyFont="1" applyBorder="1" applyAlignment="1">
      <alignment horizontal="left" vertical="center" wrapText="1"/>
      <protection/>
    </xf>
    <xf numFmtId="0" fontId="29" fillId="0" borderId="22" xfId="110" applyFont="1" applyBorder="1" applyAlignment="1">
      <alignment horizontal="left" vertical="top" wrapText="1" indent="3"/>
      <protection/>
    </xf>
    <xf numFmtId="186" fontId="29" fillId="0" borderId="23" xfId="138" applyNumberFormat="1" applyFont="1" applyBorder="1" applyAlignment="1">
      <alignment horizontal="center"/>
    </xf>
    <xf numFmtId="0" fontId="32" fillId="0" borderId="19" xfId="0" applyFont="1" applyBorder="1" applyAlignment="1">
      <alignment/>
    </xf>
    <xf numFmtId="186" fontId="29" fillId="4" borderId="19" xfId="0" applyNumberFormat="1" applyFont="1" applyFill="1" applyBorder="1" applyAlignment="1">
      <alignment/>
    </xf>
    <xf numFmtId="186" fontId="29" fillId="4" borderId="21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 vertical="center"/>
    </xf>
    <xf numFmtId="186" fontId="29" fillId="4" borderId="24" xfId="0" applyNumberFormat="1" applyFont="1" applyFill="1" applyBorder="1" applyAlignment="1">
      <alignment/>
    </xf>
    <xf numFmtId="186" fontId="29" fillId="4" borderId="19" xfId="138" applyNumberFormat="1" applyFont="1" applyFill="1" applyBorder="1" applyAlignment="1">
      <alignment horizontal="right"/>
    </xf>
    <xf numFmtId="186" fontId="29" fillId="4" borderId="25" xfId="0" applyNumberFormat="1" applyFont="1" applyFill="1" applyBorder="1" applyAlignment="1">
      <alignment/>
    </xf>
    <xf numFmtId="0" fontId="29" fillId="0" borderId="0" xfId="110" applyFont="1" applyAlignment="1">
      <alignment horizontal="left" vertical="top" wrapText="1" indent="3"/>
      <protection/>
    </xf>
    <xf numFmtId="186" fontId="0" fillId="0" borderId="0" xfId="0" applyNumberFormat="1" applyAlignment="1">
      <alignment/>
    </xf>
    <xf numFmtId="49" fontId="29" fillId="47" borderId="20" xfId="0" applyNumberFormat="1" applyFont="1" applyFill="1" applyBorder="1" applyAlignment="1">
      <alignment horizontal="left" vertical="center" wrapText="1"/>
    </xf>
    <xf numFmtId="0" fontId="29" fillId="47" borderId="20" xfId="0" applyFont="1" applyFill="1" applyBorder="1" applyAlignment="1">
      <alignment horizontal="left" wrapText="1"/>
    </xf>
    <xf numFmtId="186" fontId="29" fillId="47" borderId="21" xfId="0" applyNumberFormat="1" applyFont="1" applyFill="1" applyBorder="1" applyAlignment="1">
      <alignment horizontal="center"/>
    </xf>
    <xf numFmtId="186" fontId="29" fillId="47" borderId="20" xfId="0" applyNumberFormat="1" applyFont="1" applyFill="1" applyBorder="1" applyAlignment="1">
      <alignment/>
    </xf>
    <xf numFmtId="49" fontId="29" fillId="24" borderId="20" xfId="0" applyNumberFormat="1" applyFont="1" applyFill="1" applyBorder="1" applyAlignment="1">
      <alignment horizontal="left" vertical="center" wrapText="1"/>
    </xf>
    <xf numFmtId="0" fontId="29" fillId="24" borderId="20" xfId="110" applyFont="1" applyFill="1" applyBorder="1" applyAlignment="1">
      <alignment vertical="top" wrapText="1"/>
      <protection/>
    </xf>
    <xf numFmtId="186" fontId="29" fillId="24" borderId="21" xfId="0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 vertical="center"/>
    </xf>
    <xf numFmtId="49" fontId="29" fillId="47" borderId="20" xfId="0" applyNumberFormat="1" applyFont="1" applyFill="1" applyBorder="1" applyAlignment="1">
      <alignment horizontal="center" vertical="center" wrapText="1"/>
    </xf>
    <xf numFmtId="0" fontId="29" fillId="47" borderId="20" xfId="0" applyFont="1" applyFill="1" applyBorder="1" applyAlignment="1">
      <alignment horizontal="left" vertical="center" wrapText="1"/>
    </xf>
    <xf numFmtId="186" fontId="29" fillId="47" borderId="21" xfId="0" applyNumberFormat="1" applyFont="1" applyFill="1" applyBorder="1" applyAlignment="1">
      <alignment horizontal="center" vertical="center"/>
    </xf>
    <xf numFmtId="186" fontId="29" fillId="47" borderId="20" xfId="0" applyNumberFormat="1" applyFont="1" applyFill="1" applyBorder="1" applyAlignment="1">
      <alignment vertical="center"/>
    </xf>
    <xf numFmtId="0" fontId="29" fillId="47" borderId="20" xfId="110" applyFont="1" applyFill="1" applyBorder="1" applyAlignment="1">
      <alignment horizontal="left" vertical="top" wrapText="1"/>
      <protection/>
    </xf>
    <xf numFmtId="186" fontId="29" fillId="47" borderId="20" xfId="138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/>
    </xf>
    <xf numFmtId="49" fontId="29" fillId="11" borderId="20" xfId="0" applyNumberFormat="1" applyFont="1" applyFill="1" applyBorder="1" applyAlignment="1">
      <alignment horizontal="center" vertical="center" wrapText="1"/>
    </xf>
    <xf numFmtId="0" fontId="29" fillId="11" borderId="20" xfId="110" applyFont="1" applyFill="1" applyBorder="1" applyAlignment="1">
      <alignment horizontal="left" vertical="top" wrapText="1"/>
      <protection/>
    </xf>
    <xf numFmtId="186" fontId="29" fillId="11" borderId="20" xfId="138" applyNumberFormat="1" applyFont="1" applyFill="1" applyBorder="1" applyAlignment="1">
      <alignment horizontal="center"/>
    </xf>
    <xf numFmtId="186" fontId="29" fillId="11" borderId="20" xfId="0" applyNumberFormat="1" applyFont="1" applyFill="1" applyBorder="1" applyAlignment="1">
      <alignment/>
    </xf>
    <xf numFmtId="0" fontId="15" fillId="0" borderId="0" xfId="0" applyFont="1" applyAlignment="1">
      <alignment horizontal="center" vertical="center" wrapText="1"/>
    </xf>
    <xf numFmtId="186" fontId="29" fillId="4" borderId="21" xfId="0" applyNumberFormat="1" applyFont="1" applyFill="1" applyBorder="1" applyAlignment="1">
      <alignment vertical="center"/>
    </xf>
    <xf numFmtId="186" fontId="29" fillId="4" borderId="22" xfId="0" applyNumberFormat="1" applyFont="1" applyFill="1" applyBorder="1" applyAlignment="1">
      <alignment vertical="center"/>
    </xf>
    <xf numFmtId="186" fontId="29" fillId="4" borderId="23" xfId="0" applyNumberFormat="1" applyFont="1" applyFill="1" applyBorder="1" applyAlignment="1">
      <alignment/>
    </xf>
    <xf numFmtId="186" fontId="29" fillId="0" borderId="21" xfId="0" applyNumberFormat="1" applyFont="1" applyBorder="1" applyAlignment="1" applyProtection="1">
      <alignment/>
      <protection locked="0"/>
    </xf>
    <xf numFmtId="186" fontId="29" fillId="0" borderId="21" xfId="0" applyNumberFormat="1" applyFont="1" applyBorder="1" applyAlignment="1" applyProtection="1">
      <alignment vertical="center"/>
      <protection locked="0"/>
    </xf>
    <xf numFmtId="186" fontId="29" fillId="42" borderId="21" xfId="0" applyNumberFormat="1" applyFont="1" applyFill="1" applyBorder="1" applyAlignment="1" applyProtection="1">
      <alignment/>
      <protection locked="0"/>
    </xf>
    <xf numFmtId="186" fontId="29" fillId="4" borderId="20" xfId="138" applyNumberFormat="1" applyFont="1" applyFill="1" applyBorder="1" applyAlignment="1">
      <alignment horizontal="right"/>
    </xf>
    <xf numFmtId="186" fontId="29" fillId="42" borderId="23" xfId="138" applyNumberFormat="1" applyFont="1" applyFill="1" applyBorder="1" applyAlignment="1" applyProtection="1">
      <alignment horizontal="right"/>
      <protection locked="0"/>
    </xf>
    <xf numFmtId="186" fontId="29" fillId="47" borderId="21" xfId="0" applyNumberFormat="1" applyFont="1" applyFill="1" applyBorder="1" applyAlignment="1" applyProtection="1">
      <alignment/>
      <protection locked="0"/>
    </xf>
    <xf numFmtId="186" fontId="29" fillId="47" borderId="21" xfId="0" applyNumberFormat="1" applyFont="1" applyFill="1" applyBorder="1" applyAlignment="1" applyProtection="1">
      <alignment vertical="center"/>
      <protection locked="0"/>
    </xf>
    <xf numFmtId="186" fontId="29" fillId="47" borderId="20" xfId="138" applyNumberFormat="1" applyFont="1" applyFill="1" applyBorder="1" applyAlignment="1">
      <alignment horizontal="right"/>
    </xf>
    <xf numFmtId="186" fontId="29" fillId="24" borderId="20" xfId="138" applyNumberFormat="1" applyFont="1" applyFill="1" applyBorder="1" applyAlignment="1">
      <alignment horizontal="right"/>
    </xf>
    <xf numFmtId="0" fontId="15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27" fillId="0" borderId="28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justify" vertical="center" wrapText="1"/>
    </xf>
    <xf numFmtId="2" fontId="4" fillId="0" borderId="28" xfId="0" applyNumberFormat="1" applyFont="1" applyBorder="1" applyAlignment="1">
      <alignment horizontal="right" vertical="center"/>
    </xf>
    <xf numFmtId="190" fontId="2" fillId="0" borderId="28" xfId="0" applyNumberFormat="1" applyFont="1" applyBorder="1" applyAlignment="1">
      <alignment horizontal="right" vertical="center"/>
    </xf>
    <xf numFmtId="190" fontId="4" fillId="0" borderId="0" xfId="0" applyNumberFormat="1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 wrapText="1"/>
    </xf>
    <xf numFmtId="1" fontId="4" fillId="0" borderId="28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2" fillId="0" borderId="28" xfId="0" applyNumberFormat="1" applyFont="1" applyBorder="1" applyAlignment="1">
      <alignment horizontal="right" vertical="center" wrapText="1"/>
    </xf>
    <xf numFmtId="2" fontId="2" fillId="0" borderId="28" xfId="0" applyNumberFormat="1" applyFont="1" applyBorder="1" applyAlignment="1">
      <alignment horizontal="right" vertical="center"/>
    </xf>
    <xf numFmtId="1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2" fontId="4" fillId="47" borderId="28" xfId="0" applyNumberFormat="1" applyFont="1" applyFill="1" applyBorder="1" applyAlignment="1">
      <alignment horizontal="right" vertical="center"/>
    </xf>
    <xf numFmtId="191" fontId="0" fillId="0" borderId="0" xfId="0" applyNumberFormat="1" applyAlignment="1">
      <alignment vertical="center"/>
    </xf>
    <xf numFmtId="173" fontId="2" fillId="0" borderId="28" xfId="132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/>
    </xf>
    <xf numFmtId="1" fontId="2" fillId="0" borderId="28" xfId="0" applyNumberFormat="1" applyFont="1" applyBorder="1" applyAlignment="1">
      <alignment horizontal="right" vertical="center"/>
    </xf>
    <xf numFmtId="2" fontId="2" fillId="0" borderId="28" xfId="132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4" fillId="0" borderId="29" xfId="0" applyFont="1" applyBorder="1" applyAlignment="1">
      <alignment horizontal="center" vertical="center"/>
    </xf>
    <xf numFmtId="16" fontId="2" fillId="0" borderId="31" xfId="0" applyNumberFormat="1" applyFont="1" applyBorder="1" applyAlignment="1">
      <alignment horizontal="center" vertical="center"/>
    </xf>
    <xf numFmtId="173" fontId="2" fillId="47" borderId="28" xfId="132" applyFont="1" applyFill="1" applyBorder="1" applyAlignment="1">
      <alignment horizontal="right" vertical="center"/>
    </xf>
    <xf numFmtId="2" fontId="2" fillId="47" borderId="28" xfId="132" applyNumberFormat="1" applyFont="1" applyFill="1" applyBorder="1" applyAlignment="1">
      <alignment horizontal="right" vertical="center"/>
    </xf>
    <xf numFmtId="190" fontId="4" fillId="0" borderId="28" xfId="0" applyNumberFormat="1" applyFont="1" applyBorder="1" applyAlignment="1">
      <alignment horizontal="right" vertical="center"/>
    </xf>
    <xf numFmtId="0" fontId="33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90" fontId="2" fillId="0" borderId="28" xfId="132" applyNumberFormat="1" applyFont="1" applyBorder="1" applyAlignment="1">
      <alignment horizontal="right" vertical="center"/>
    </xf>
    <xf numFmtId="2" fontId="2" fillId="47" borderId="28" xfId="0" applyNumberFormat="1" applyFont="1" applyFill="1" applyBorder="1" applyAlignment="1">
      <alignment horizontal="right" vertical="center"/>
    </xf>
    <xf numFmtId="0" fontId="2" fillId="0" borderId="28" xfId="132" applyNumberFormat="1" applyFont="1" applyBorder="1" applyAlignment="1">
      <alignment horizontal="right" vertical="center"/>
    </xf>
    <xf numFmtId="0" fontId="2" fillId="47" borderId="28" xfId="0" applyFont="1" applyFill="1" applyBorder="1" applyAlignment="1">
      <alignment horizontal="right" vertical="center"/>
    </xf>
    <xf numFmtId="173" fontId="4" fillId="0" borderId="28" xfId="132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93" applyBorder="1" applyAlignment="1">
      <alignment horizontal="justify" vertical="center" wrapText="1"/>
      <protection/>
    </xf>
    <xf numFmtId="2" fontId="0" fillId="0" borderId="28" xfId="0" applyNumberForma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95" applyFont="1" applyBorder="1" applyAlignment="1">
      <alignment horizontal="center" vertical="center" wrapText="1"/>
      <protection/>
    </xf>
    <xf numFmtId="192" fontId="4" fillId="0" borderId="28" xfId="132" applyNumberFormat="1" applyFont="1" applyBorder="1" applyAlignment="1">
      <alignment horizontal="center" vertical="center" wrapText="1"/>
    </xf>
    <xf numFmtId="173" fontId="4" fillId="0" borderId="28" xfId="132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92" fontId="2" fillId="0" borderId="28" xfId="0" applyNumberFormat="1" applyFont="1" applyBorder="1" applyAlignment="1">
      <alignment vertical="center"/>
    </xf>
    <xf numFmtId="192" fontId="2" fillId="47" borderId="28" xfId="132" applyNumberFormat="1" applyFont="1" applyFill="1" applyBorder="1" applyAlignment="1">
      <alignment horizontal="center" vertical="center"/>
    </xf>
    <xf numFmtId="192" fontId="2" fillId="0" borderId="28" xfId="132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192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/>
    </xf>
    <xf numFmtId="192" fontId="2" fillId="0" borderId="28" xfId="0" applyNumberFormat="1" applyFont="1" applyBorder="1" applyAlignment="1">
      <alignment horizontal="right" vertical="center"/>
    </xf>
    <xf numFmtId="192" fontId="0" fillId="0" borderId="28" xfId="0" applyNumberFormat="1" applyBorder="1" applyAlignment="1">
      <alignment vertical="center"/>
    </xf>
    <xf numFmtId="173" fontId="2" fillId="0" borderId="28" xfId="132" applyFont="1" applyBorder="1" applyAlignment="1">
      <alignment horizontal="center" vertical="center"/>
    </xf>
    <xf numFmtId="49" fontId="2" fillId="0" borderId="28" xfId="95" applyNumberFormat="1" applyBorder="1" applyAlignment="1">
      <alignment horizontal="center" vertical="center"/>
      <protection/>
    </xf>
    <xf numFmtId="0" fontId="34" fillId="0" borderId="28" xfId="95" applyFont="1" applyBorder="1" applyAlignment="1">
      <alignment horizontal="left" vertical="center" wrapText="1"/>
      <protection/>
    </xf>
    <xf numFmtId="173" fontId="4" fillId="0" borderId="28" xfId="132" applyFont="1" applyBorder="1" applyAlignment="1">
      <alignment horizontal="center" vertical="center"/>
    </xf>
    <xf numFmtId="0" fontId="2" fillId="0" borderId="28" xfId="95" applyBorder="1" applyAlignment="1">
      <alignment horizontal="left" vertical="center" wrapText="1" indent="3"/>
      <protection/>
    </xf>
    <xf numFmtId="49" fontId="2" fillId="0" borderId="0" xfId="95" applyNumberFormat="1" applyAlignment="1">
      <alignment horizontal="center" vertical="center"/>
      <protection/>
    </xf>
    <xf numFmtId="0" fontId="2" fillId="0" borderId="0" xfId="95" applyAlignment="1">
      <alignment horizontal="left" vertical="center" wrapText="1" indent="3"/>
      <protection/>
    </xf>
    <xf numFmtId="173" fontId="2" fillId="0" borderId="0" xfId="132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187" fontId="45" fillId="0" borderId="0" xfId="0" applyNumberFormat="1" applyFont="1" applyAlignment="1">
      <alignment vertical="center"/>
    </xf>
    <xf numFmtId="0" fontId="2" fillId="48" borderId="28" xfId="0" applyFont="1" applyFill="1" applyBorder="1" applyAlignment="1">
      <alignment horizontal="center" vertical="center"/>
    </xf>
    <xf numFmtId="0" fontId="2" fillId="48" borderId="28" xfId="0" applyFont="1" applyFill="1" applyBorder="1" applyAlignment="1">
      <alignment horizontal="left" vertical="center" wrapText="1"/>
    </xf>
    <xf numFmtId="165" fontId="2" fillId="0" borderId="28" xfId="0" applyNumberFormat="1" applyFont="1" applyBorder="1" applyAlignment="1">
      <alignment horizontal="center" vertical="center"/>
    </xf>
    <xf numFmtId="165" fontId="2" fillId="48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28" xfId="0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1" fontId="0" fillId="0" borderId="28" xfId="0" applyNumberFormat="1" applyBorder="1" applyAlignment="1">
      <alignment vertical="center"/>
    </xf>
    <xf numFmtId="0" fontId="33" fillId="0" borderId="28" xfId="0" applyFont="1" applyBorder="1" applyAlignment="1">
      <alignment horizontal="left" vertical="center" indent="3"/>
    </xf>
    <xf numFmtId="2" fontId="33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horizontal="center" vertical="center"/>
    </xf>
    <xf numFmtId="173" fontId="33" fillId="0" borderId="28" xfId="132" applyFont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1"/>
    </xf>
    <xf numFmtId="190" fontId="33" fillId="0" borderId="28" xfId="0" applyNumberFormat="1" applyFont="1" applyBorder="1" applyAlignment="1">
      <alignment horizontal="center" vertical="center"/>
    </xf>
    <xf numFmtId="190" fontId="35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vertical="center"/>
    </xf>
    <xf numFmtId="9" fontId="33" fillId="0" borderId="28" xfId="123" applyFont="1" applyBorder="1" applyAlignment="1">
      <alignment vertical="center"/>
    </xf>
    <xf numFmtId="0" fontId="35" fillId="47" borderId="28" xfId="0" applyFont="1" applyFill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1" fillId="0" borderId="28" xfId="130" applyBorder="1" applyAlignment="1">
      <alignment vertical="center"/>
    </xf>
    <xf numFmtId="0" fontId="2" fillId="0" borderId="0" xfId="0" applyFont="1" applyAlignment="1">
      <alignment vertical="center" wrapText="1"/>
    </xf>
    <xf numFmtId="9" fontId="1" fillId="0" borderId="0" xfId="123" applyFont="1" applyAlignment="1">
      <alignment vertical="center"/>
    </xf>
    <xf numFmtId="0" fontId="36" fillId="0" borderId="28" xfId="102" applyFont="1" applyBorder="1" applyAlignment="1">
      <alignment horizontal="left" vertical="center" wrapText="1"/>
      <protection/>
    </xf>
    <xf numFmtId="1" fontId="33" fillId="0" borderId="28" xfId="0" applyNumberFormat="1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1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vertical="center"/>
    </xf>
    <xf numFmtId="1" fontId="36" fillId="0" borderId="28" xfId="109" applyNumberFormat="1" applyFont="1" applyBorder="1" applyAlignment="1">
      <alignment horizontal="left" vertical="center" wrapText="1"/>
      <protection/>
    </xf>
    <xf numFmtId="0" fontId="36" fillId="0" borderId="28" xfId="89" applyFont="1" applyBorder="1" applyAlignment="1">
      <alignment horizontal="left" vertical="center" wrapText="1"/>
      <protection/>
    </xf>
    <xf numFmtId="0" fontId="37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center" vertical="center"/>
    </xf>
    <xf numFmtId="0" fontId="33" fillId="47" borderId="28" xfId="0" applyFont="1" applyFill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2"/>
    </xf>
    <xf numFmtId="1" fontId="2" fillId="0" borderId="28" xfId="0" applyNumberFormat="1" applyFont="1" applyBorder="1" applyAlignment="1">
      <alignment vertical="center"/>
    </xf>
    <xf numFmtId="190" fontId="2" fillId="0" borderId="28" xfId="0" applyNumberFormat="1" applyFont="1" applyBorder="1" applyAlignment="1">
      <alignment vertical="center"/>
    </xf>
    <xf numFmtId="0" fontId="2" fillId="48" borderId="0" xfId="111" applyFill="1" applyAlignment="1">
      <alignment vertical="center"/>
      <protection/>
    </xf>
    <xf numFmtId="0" fontId="2" fillId="0" borderId="0" xfId="111" applyAlignment="1">
      <alignment vertical="center"/>
      <protection/>
    </xf>
    <xf numFmtId="0" fontId="47" fillId="0" borderId="0" xfId="108" applyFont="1" applyAlignment="1">
      <alignment vertical="center"/>
      <protection/>
    </xf>
    <xf numFmtId="0" fontId="48" fillId="0" borderId="0" xfId="108" applyFont="1" applyAlignment="1">
      <alignment horizontal="center" vertical="center"/>
      <protection/>
    </xf>
    <xf numFmtId="0" fontId="49" fillId="0" borderId="0" xfId="108" applyFont="1" applyAlignment="1">
      <alignment horizontal="center" vertical="center"/>
      <protection/>
    </xf>
    <xf numFmtId="0" fontId="38" fillId="0" borderId="0" xfId="93" applyFont="1" applyAlignment="1">
      <alignment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 wrapText="1"/>
      <protection/>
    </xf>
    <xf numFmtId="193" fontId="51" fillId="0" borderId="0" xfId="137" applyNumberFormat="1" applyFont="1" applyAlignment="1">
      <alignment horizontal="center" vertical="center"/>
    </xf>
    <xf numFmtId="193" fontId="52" fillId="0" borderId="0" xfId="137" applyNumberFormat="1" applyFont="1" applyAlignment="1">
      <alignment horizontal="center" vertical="center"/>
    </xf>
    <xf numFmtId="0" fontId="51" fillId="0" borderId="0" xfId="93" applyFont="1" applyAlignment="1">
      <alignment vertical="center" wrapText="1"/>
      <protection/>
    </xf>
    <xf numFmtId="0" fontId="51" fillId="0" borderId="0" xfId="108" applyFont="1" applyAlignment="1">
      <alignment vertical="center" wrapText="1"/>
      <protection/>
    </xf>
    <xf numFmtId="0" fontId="38" fillId="0" borderId="0" xfId="94" applyFont="1" applyAlignment="1">
      <alignment vertical="center"/>
      <protection/>
    </xf>
    <xf numFmtId="1" fontId="49" fillId="0" borderId="0" xfId="108" applyNumberFormat="1" applyFont="1" applyAlignment="1">
      <alignment horizontal="center" vertical="center"/>
      <protection/>
    </xf>
    <xf numFmtId="192" fontId="52" fillId="0" borderId="0" xfId="137" applyNumberFormat="1" applyFont="1" applyAlignment="1">
      <alignment horizontal="center" vertical="center"/>
    </xf>
    <xf numFmtId="192" fontId="51" fillId="0" borderId="0" xfId="137" applyNumberFormat="1" applyFont="1" applyAlignment="1">
      <alignment horizontal="center" vertical="center"/>
    </xf>
    <xf numFmtId="0" fontId="53" fillId="0" borderId="0" xfId="108" applyFont="1" applyAlignment="1">
      <alignment horizontal="center" vertical="center"/>
      <protection/>
    </xf>
    <xf numFmtId="192" fontId="51" fillId="0" borderId="0" xfId="137" applyNumberFormat="1" applyFont="1" applyAlignment="1">
      <alignment horizontal="center" vertical="center" wrapText="1"/>
    </xf>
    <xf numFmtId="194" fontId="49" fillId="0" borderId="0" xfId="108" applyNumberFormat="1" applyFont="1" applyAlignment="1">
      <alignment vertical="center"/>
      <protection/>
    </xf>
    <xf numFmtId="0" fontId="49" fillId="0" borderId="0" xfId="108" applyFont="1" applyAlignment="1">
      <alignment vertical="center"/>
      <protection/>
    </xf>
    <xf numFmtId="0" fontId="38" fillId="0" borderId="0" xfId="93" applyFont="1" applyAlignment="1">
      <alignment vertical="center" wrapText="1"/>
      <protection/>
    </xf>
    <xf numFmtId="173" fontId="51" fillId="0" borderId="0" xfId="137" applyFont="1" applyAlignment="1">
      <alignment horizontal="center" vertical="center"/>
    </xf>
    <xf numFmtId="0" fontId="51" fillId="0" borderId="0" xfId="108" applyFont="1" applyAlignment="1">
      <alignment horizontal="center" vertical="center"/>
      <protection/>
    </xf>
    <xf numFmtId="4" fontId="49" fillId="0" borderId="0" xfId="108" applyNumberFormat="1" applyFont="1" applyAlignment="1">
      <alignment horizontal="center" vertical="center"/>
      <protection/>
    </xf>
    <xf numFmtId="0" fontId="52" fillId="4" borderId="0" xfId="108" applyFont="1" applyFill="1" applyAlignment="1">
      <alignment horizontal="center" vertical="center"/>
      <protection/>
    </xf>
    <xf numFmtId="192" fontId="52" fillId="4" borderId="0" xfId="137" applyNumberFormat="1" applyFont="1" applyFill="1" applyAlignment="1">
      <alignment horizontal="center" vertical="center"/>
    </xf>
    <xf numFmtId="193" fontId="52" fillId="4" borderId="0" xfId="137" applyNumberFormat="1" applyFont="1" applyFill="1" applyAlignment="1">
      <alignment horizontal="center" vertical="center"/>
    </xf>
    <xf numFmtId="0" fontId="51" fillId="0" borderId="0" xfId="108" applyFont="1" applyAlignment="1">
      <alignment horizontal="right" vertical="center"/>
      <protection/>
    </xf>
    <xf numFmtId="195" fontId="51" fillId="0" borderId="0" xfId="124" applyNumberFormat="1" applyFont="1" applyAlignment="1">
      <alignment horizontal="center" vertical="center"/>
    </xf>
    <xf numFmtId="196" fontId="48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right" vertical="center"/>
      <protection/>
    </xf>
    <xf numFmtId="194" fontId="49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center" vertical="center"/>
      <protection/>
    </xf>
    <xf numFmtId="0" fontId="48" fillId="0" borderId="0" xfId="108" applyFont="1" applyAlignment="1">
      <alignment horizontal="center" vertical="center" wrapText="1"/>
      <protection/>
    </xf>
    <xf numFmtId="3" fontId="49" fillId="0" borderId="0" xfId="108" applyNumberFormat="1" applyFont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4" fillId="4" borderId="0" xfId="108" applyFont="1" applyFill="1" applyAlignment="1">
      <alignment horizontal="center" vertical="center"/>
      <protection/>
    </xf>
    <xf numFmtId="192" fontId="54" fillId="4" borderId="0" xfId="137" applyNumberFormat="1" applyFont="1" applyFill="1" applyAlignment="1">
      <alignment horizontal="center" vertical="center"/>
    </xf>
    <xf numFmtId="0" fontId="55" fillId="0" borderId="0" xfId="108" applyFont="1" applyAlignment="1">
      <alignment horizontal="right" vertical="center"/>
      <protection/>
    </xf>
    <xf numFmtId="192" fontId="55" fillId="0" borderId="0" xfId="137" applyNumberFormat="1" applyFont="1" applyAlignment="1">
      <alignment horizontal="center" vertical="center"/>
    </xf>
    <xf numFmtId="0" fontId="56" fillId="0" borderId="0" xfId="108" applyFont="1" applyAlignment="1">
      <alignment horizontal="center" vertical="center"/>
      <protection/>
    </xf>
    <xf numFmtId="192" fontId="56" fillId="0" borderId="0" xfId="137" applyNumberFormat="1" applyFont="1" applyAlignment="1">
      <alignment horizontal="center" vertical="center"/>
    </xf>
    <xf numFmtId="3" fontId="51" fillId="0" borderId="0" xfId="108" applyNumberFormat="1" applyFont="1" applyAlignment="1">
      <alignment horizontal="right" vertical="center"/>
      <protection/>
    </xf>
    <xf numFmtId="0" fontId="49" fillId="0" borderId="0" xfId="108" applyFont="1" applyAlignment="1">
      <alignment horizontal="right" vertical="center"/>
      <protection/>
    </xf>
    <xf numFmtId="1" fontId="49" fillId="0" borderId="0" xfId="108" applyNumberFormat="1" applyFont="1" applyAlignment="1">
      <alignment vertical="center"/>
      <protection/>
    </xf>
    <xf numFmtId="192" fontId="54" fillId="4" borderId="0" xfId="108" applyNumberFormat="1" applyFont="1" applyFill="1" applyAlignment="1">
      <alignment horizontal="center" vertical="center"/>
      <protection/>
    </xf>
    <xf numFmtId="0" fontId="38" fillId="47" borderId="0" xfId="93" applyFont="1" applyFill="1" applyAlignment="1">
      <alignment vertical="center" wrapText="1"/>
      <protection/>
    </xf>
    <xf numFmtId="0" fontId="52" fillId="4" borderId="0" xfId="108" applyFont="1" applyFill="1" applyAlignment="1">
      <alignment horizontal="right" vertical="center"/>
      <protection/>
    </xf>
    <xf numFmtId="192" fontId="52" fillId="4" borderId="0" xfId="108" applyNumberFormat="1" applyFont="1" applyFill="1" applyAlignment="1">
      <alignment horizontal="center" vertical="center"/>
      <protection/>
    </xf>
    <xf numFmtId="192" fontId="51" fillId="0" borderId="0" xfId="108" applyNumberFormat="1" applyFont="1" applyAlignment="1">
      <alignment horizontal="center" vertical="center"/>
      <protection/>
    </xf>
    <xf numFmtId="9" fontId="51" fillId="0" borderId="0" xfId="122" applyFont="1" applyAlignment="1">
      <alignment horizontal="center" vertical="center"/>
    </xf>
    <xf numFmtId="3" fontId="48" fillId="0" borderId="0" xfId="108" applyNumberFormat="1" applyFont="1" applyAlignment="1">
      <alignment horizontal="center" vertical="center"/>
      <protection/>
    </xf>
    <xf numFmtId="192" fontId="52" fillId="0" borderId="0" xfId="136" applyNumberFormat="1" applyFont="1" applyAlignment="1">
      <alignment horizontal="center" vertical="center"/>
    </xf>
    <xf numFmtId="192" fontId="48" fillId="0" borderId="0" xfId="108" applyNumberFormat="1" applyFont="1" applyAlignment="1">
      <alignment horizontal="center" vertical="center"/>
      <protection/>
    </xf>
    <xf numFmtId="192" fontId="51" fillId="0" borderId="0" xfId="136" applyNumberFormat="1" applyFont="1" applyAlignment="1">
      <alignment horizontal="center" vertical="center"/>
    </xf>
    <xf numFmtId="9" fontId="48" fillId="47" borderId="0" xfId="124" applyFont="1" applyFill="1" applyAlignment="1">
      <alignment horizontal="center" vertical="center"/>
    </xf>
    <xf numFmtId="192" fontId="48" fillId="0" borderId="0" xfId="137" applyNumberFormat="1" applyFont="1" applyAlignment="1">
      <alignment horizontal="center" vertical="center"/>
    </xf>
    <xf numFmtId="0" fontId="52" fillId="0" borderId="0" xfId="108" applyFont="1" applyAlignment="1">
      <alignment horizontal="center" vertical="center" wrapText="1"/>
      <protection/>
    </xf>
    <xf numFmtId="0" fontId="51" fillId="0" borderId="0" xfId="0" applyFont="1" applyAlignment="1">
      <alignment vertical="center" wrapText="1"/>
    </xf>
    <xf numFmtId="0" fontId="2" fillId="0" borderId="0" xfId="93" applyAlignment="1">
      <alignment vertical="center"/>
      <protection/>
    </xf>
    <xf numFmtId="195" fontId="49" fillId="0" borderId="0" xfId="123" applyNumberFormat="1" applyFont="1" applyAlignment="1">
      <alignment horizontal="center" vertical="center"/>
    </xf>
    <xf numFmtId="0" fontId="57" fillId="0" borderId="0" xfId="108" applyFont="1" applyAlignment="1">
      <alignment horizontal="center" vertical="center"/>
      <protection/>
    </xf>
    <xf numFmtId="195" fontId="51" fillId="0" borderId="0" xfId="123" applyNumberFormat="1" applyFont="1" applyAlignment="1">
      <alignment horizontal="center" vertical="center"/>
    </xf>
    <xf numFmtId="0" fontId="49" fillId="0" borderId="0" xfId="108" applyFont="1" applyAlignment="1">
      <alignment vertical="center" wrapText="1"/>
      <protection/>
    </xf>
    <xf numFmtId="195" fontId="51" fillId="0" borderId="0" xfId="122" applyNumberFormat="1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0" xfId="108" applyFont="1" applyAlignment="1">
      <alignment vertical="center" wrapText="1"/>
      <protection/>
    </xf>
    <xf numFmtId="0" fontId="2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left" vertical="top" indent="1"/>
    </xf>
    <xf numFmtId="3" fontId="2" fillId="0" borderId="36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left" vertical="top" wrapText="1"/>
    </xf>
    <xf numFmtId="3" fontId="45" fillId="0" borderId="19" xfId="0" applyNumberFormat="1" applyFont="1" applyBorder="1" applyAlignment="1">
      <alignment horizontal="right" vertical="top"/>
    </xf>
    <xf numFmtId="3" fontId="2" fillId="0" borderId="29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right" vertical="top"/>
    </xf>
    <xf numFmtId="3" fontId="2" fillId="0" borderId="23" xfId="0" applyNumberFormat="1" applyFont="1" applyBorder="1" applyAlignment="1">
      <alignment horizontal="right" vertical="top"/>
    </xf>
    <xf numFmtId="0" fontId="27" fillId="49" borderId="28" xfId="95" applyFont="1" applyFill="1" applyBorder="1" applyAlignment="1">
      <alignment horizontal="center" vertical="center"/>
      <protection/>
    </xf>
    <xf numFmtId="49" fontId="27" fillId="49" borderId="28" xfId="0" applyNumberFormat="1" applyFont="1" applyFill="1" applyBorder="1" applyAlignment="1">
      <alignment horizontal="center" vertical="center"/>
    </xf>
    <xf numFmtId="0" fontId="2" fillId="49" borderId="28" xfId="0" applyFont="1" applyFill="1" applyBorder="1" applyAlignment="1">
      <alignment horizontal="left" vertical="center" wrapText="1" indent="1"/>
    </xf>
    <xf numFmtId="173" fontId="3" fillId="49" borderId="28" xfId="130" applyFont="1" applyFill="1" applyBorder="1" applyAlignment="1">
      <alignment horizontal="center" vertical="center"/>
    </xf>
    <xf numFmtId="0" fontId="2" fillId="49" borderId="0" xfId="95" applyFill="1">
      <alignment/>
      <protection/>
    </xf>
    <xf numFmtId="0" fontId="2" fillId="49" borderId="28" xfId="0" applyFont="1" applyFill="1" applyBorder="1" applyAlignment="1">
      <alignment horizontal="left" vertical="center" wrapText="1" indent="7"/>
    </xf>
    <xf numFmtId="49" fontId="26" fillId="49" borderId="28" xfId="0" applyNumberFormat="1" applyFont="1" applyFill="1" applyBorder="1" applyAlignment="1">
      <alignment horizontal="center" vertical="center"/>
    </xf>
    <xf numFmtId="0" fontId="4" fillId="49" borderId="28" xfId="0" applyFont="1" applyFill="1" applyBorder="1" applyAlignment="1">
      <alignment vertical="center" wrapText="1"/>
    </xf>
    <xf numFmtId="0" fontId="26" fillId="49" borderId="28" xfId="95" applyFont="1" applyFill="1" applyBorder="1" applyAlignment="1">
      <alignment horizontal="center" vertical="center"/>
      <protection/>
    </xf>
    <xf numFmtId="173" fontId="61" fillId="49" borderId="28" xfId="130" applyFont="1" applyFill="1" applyBorder="1" applyAlignment="1">
      <alignment horizontal="center" vertical="center"/>
    </xf>
    <xf numFmtId="173" fontId="2" fillId="49" borderId="28" xfId="130" applyFont="1" applyFill="1" applyBorder="1" applyAlignment="1">
      <alignment horizontal="center" vertical="center"/>
    </xf>
    <xf numFmtId="0" fontId="4" fillId="49" borderId="28" xfId="0" applyFont="1" applyFill="1" applyBorder="1" applyAlignment="1">
      <alignment horizontal="left" vertical="center" wrapText="1" indent="1"/>
    </xf>
    <xf numFmtId="49" fontId="42" fillId="49" borderId="28" xfId="0" applyNumberFormat="1" applyFont="1" applyFill="1" applyBorder="1" applyAlignment="1">
      <alignment horizontal="center" vertical="center"/>
    </xf>
    <xf numFmtId="0" fontId="34" fillId="49" borderId="28" xfId="95" applyFont="1" applyFill="1" applyBorder="1" applyAlignment="1">
      <alignment horizontal="left" vertical="center" wrapText="1" indent="3"/>
      <protection/>
    </xf>
    <xf numFmtId="0" fontId="34" fillId="49" borderId="28" xfId="95" applyFont="1" applyFill="1" applyBorder="1" applyAlignment="1">
      <alignment horizontal="left" vertical="center" wrapText="1" indent="5"/>
      <protection/>
    </xf>
    <xf numFmtId="0" fontId="34" fillId="49" borderId="28" xfId="95" applyFont="1" applyFill="1" applyBorder="1" applyAlignment="1">
      <alignment horizontal="left" vertical="center" indent="3"/>
      <protection/>
    </xf>
    <xf numFmtId="0" fontId="2" fillId="49" borderId="28" xfId="0" applyFont="1" applyFill="1" applyBorder="1" applyAlignment="1">
      <alignment vertical="center" wrapText="1"/>
    </xf>
    <xf numFmtId="0" fontId="27" fillId="49" borderId="28" xfId="95" applyFont="1" applyFill="1" applyBorder="1" applyAlignment="1">
      <alignment horizontal="center" vertical="center" wrapText="1"/>
      <protection/>
    </xf>
    <xf numFmtId="49" fontId="42" fillId="49" borderId="28" xfId="95" applyNumberFormat="1" applyFont="1" applyFill="1" applyBorder="1" applyAlignment="1">
      <alignment horizontal="center" vertical="center"/>
      <protection/>
    </xf>
    <xf numFmtId="0" fontId="42" fillId="49" borderId="28" xfId="95" applyFont="1" applyFill="1" applyBorder="1" applyAlignment="1">
      <alignment horizontal="center" vertical="center" wrapText="1"/>
      <protection/>
    </xf>
    <xf numFmtId="0" fontId="42" fillId="49" borderId="28" xfId="95" applyFont="1" applyFill="1" applyBorder="1" applyAlignment="1">
      <alignment horizontal="center" vertical="center"/>
      <protection/>
    </xf>
    <xf numFmtId="49" fontId="27" fillId="49" borderId="28" xfId="95" applyNumberFormat="1" applyFont="1" applyFill="1" applyBorder="1" applyAlignment="1">
      <alignment horizontal="center" vertical="center"/>
      <protection/>
    </xf>
    <xf numFmtId="0" fontId="66" fillId="49" borderId="28" xfId="95" applyFont="1" applyFill="1" applyBorder="1" applyAlignment="1">
      <alignment horizontal="center" vertical="center"/>
      <protection/>
    </xf>
    <xf numFmtId="0" fontId="66" fillId="49" borderId="28" xfId="95" applyFont="1" applyFill="1" applyBorder="1" applyAlignment="1">
      <alignment horizontal="left" vertical="center" indent="1"/>
      <protection/>
    </xf>
    <xf numFmtId="190" fontId="3" fillId="49" borderId="28" xfId="130" applyNumberFormat="1" applyFont="1" applyFill="1" applyBorder="1" applyAlignment="1">
      <alignment horizontal="center" vertical="center"/>
    </xf>
    <xf numFmtId="173" fontId="61" fillId="49" borderId="28" xfId="130" applyFont="1" applyFill="1" applyBorder="1" applyAlignment="1">
      <alignment vertical="center"/>
    </xf>
    <xf numFmtId="173" fontId="2" fillId="49" borderId="28" xfId="130" applyFont="1" applyFill="1" applyBorder="1" applyAlignment="1">
      <alignment vertical="center"/>
    </xf>
    <xf numFmtId="4" fontId="3" fillId="49" borderId="28" xfId="130" applyNumberFormat="1" applyFont="1" applyFill="1" applyBorder="1" applyAlignment="1">
      <alignment vertical="center" wrapText="1"/>
    </xf>
    <xf numFmtId="173" fontId="3" fillId="49" borderId="28" xfId="130" applyFont="1" applyFill="1" applyBorder="1" applyAlignment="1">
      <alignment vertical="center"/>
    </xf>
    <xf numFmtId="0" fontId="42" fillId="49" borderId="28" xfId="95" applyFont="1" applyFill="1" applyBorder="1" applyAlignment="1">
      <alignment vertical="center"/>
      <protection/>
    </xf>
    <xf numFmtId="0" fontId="3" fillId="49" borderId="0" xfId="95" applyFont="1" applyFill="1" applyAlignment="1">
      <alignment horizontal="center"/>
      <protection/>
    </xf>
    <xf numFmtId="0" fontId="61" fillId="49" borderId="28" xfId="95" applyFont="1" applyFill="1" applyBorder="1" applyAlignment="1">
      <alignment horizontal="center" vertical="center" wrapText="1"/>
      <protection/>
    </xf>
    <xf numFmtId="0" fontId="62" fillId="49" borderId="28" xfId="95" applyFont="1" applyFill="1" applyBorder="1" applyAlignment="1">
      <alignment horizontal="center" vertical="center" wrapText="1"/>
      <protection/>
    </xf>
    <xf numFmtId="191" fontId="3" fillId="49" borderId="28" xfId="0" applyNumberFormat="1" applyFont="1" applyFill="1" applyBorder="1" applyAlignment="1">
      <alignment horizontal="center"/>
    </xf>
    <xf numFmtId="0" fontId="2" fillId="49" borderId="0" xfId="95" applyFill="1" applyAlignment="1">
      <alignment vertical="center"/>
      <protection/>
    </xf>
    <xf numFmtId="0" fontId="3" fillId="49" borderId="28" xfId="95" applyFont="1" applyFill="1" applyBorder="1" applyAlignment="1">
      <alignment horizontal="center" vertical="center" wrapText="1"/>
      <protection/>
    </xf>
    <xf numFmtId="0" fontId="62" fillId="49" borderId="28" xfId="95" applyFont="1" applyFill="1" applyBorder="1" applyAlignment="1">
      <alignment horizontal="center" vertical="center"/>
      <protection/>
    </xf>
    <xf numFmtId="173" fontId="3" fillId="49" borderId="28" xfId="95" applyNumberFormat="1" applyFont="1" applyFill="1" applyBorder="1" applyAlignment="1">
      <alignment horizontal="center" vertical="center" wrapText="1"/>
      <protection/>
    </xf>
    <xf numFmtId="0" fontId="3" fillId="49" borderId="28" xfId="95" applyFont="1" applyFill="1" applyBorder="1" applyAlignment="1">
      <alignment horizontal="center"/>
      <protection/>
    </xf>
    <xf numFmtId="165" fontId="2" fillId="49" borderId="0" xfId="95" applyNumberFormat="1" applyFill="1" applyAlignment="1">
      <alignment vertical="center"/>
      <protection/>
    </xf>
    <xf numFmtId="49" fontId="27" fillId="49" borderId="0" xfId="95" applyNumberFormat="1" applyFont="1" applyFill="1" applyAlignment="1">
      <alignment horizontal="center" vertical="center"/>
      <protection/>
    </xf>
    <xf numFmtId="0" fontId="2" fillId="49" borderId="0" xfId="95" applyFill="1" applyAlignment="1">
      <alignment wrapText="1"/>
      <protection/>
    </xf>
    <xf numFmtId="0" fontId="27" fillId="49" borderId="0" xfId="95" applyFont="1" applyFill="1" applyAlignment="1">
      <alignment horizontal="center" vertical="center" wrapText="1"/>
      <protection/>
    </xf>
    <xf numFmtId="0" fontId="2" fillId="49" borderId="0" xfId="95" applyFill="1" applyAlignment="1">
      <alignment/>
      <protection/>
    </xf>
    <xf numFmtId="0" fontId="2" fillId="49" borderId="0" xfId="95" applyFill="1" applyAlignment="1">
      <alignment horizontal="center"/>
      <protection/>
    </xf>
    <xf numFmtId="0" fontId="60" fillId="49" borderId="0" xfId="0" applyFont="1" applyFill="1" applyAlignment="1">
      <alignment horizontal="center" vertical="top"/>
    </xf>
    <xf numFmtId="0" fontId="59" fillId="49" borderId="0" xfId="0" applyFont="1" applyFill="1" applyAlignment="1">
      <alignment horizontal="justify" vertical="center"/>
    </xf>
    <xf numFmtId="0" fontId="26" fillId="49" borderId="28" xfId="95" applyFont="1" applyFill="1" applyBorder="1" applyAlignment="1">
      <alignment horizontal="center" vertical="center" wrapText="1"/>
      <protection/>
    </xf>
    <xf numFmtId="49" fontId="42" fillId="49" borderId="28" xfId="95" applyNumberFormat="1" applyFont="1" applyFill="1" applyBorder="1" applyAlignment="1">
      <alignment vertical="center"/>
      <protection/>
    </xf>
    <xf numFmtId="211" fontId="2" fillId="49" borderId="0" xfId="95" applyNumberFormat="1" applyFill="1" applyAlignment="1">
      <alignment vertical="center"/>
      <protection/>
    </xf>
    <xf numFmtId="0" fontId="3" fillId="49" borderId="28" xfId="0" applyFont="1" applyFill="1" applyBorder="1" applyAlignment="1">
      <alignment horizontal="center"/>
    </xf>
    <xf numFmtId="0" fontId="4" fillId="49" borderId="0" xfId="95" applyFont="1" applyFill="1" applyAlignment="1">
      <alignment vertical="center"/>
      <protection/>
    </xf>
    <xf numFmtId="212" fontId="90" fillId="49" borderId="0" xfId="0" applyNumberFormat="1" applyFont="1" applyFill="1" applyAlignment="1">
      <alignment horizontal="center"/>
    </xf>
    <xf numFmtId="208" fontId="2" fillId="49" borderId="0" xfId="95" applyNumberFormat="1" applyFill="1" applyAlignment="1">
      <alignment vertical="center"/>
      <protection/>
    </xf>
    <xf numFmtId="2" fontId="2" fillId="49" borderId="0" xfId="95" applyNumberFormat="1" applyFill="1" applyAlignment="1">
      <alignment vertical="center"/>
      <protection/>
    </xf>
    <xf numFmtId="0" fontId="91" fillId="49" borderId="0" xfId="95" applyFont="1" applyFill="1">
      <alignment/>
      <protection/>
    </xf>
    <xf numFmtId="4" fontId="2" fillId="49" borderId="0" xfId="130" applyNumberFormat="1" applyFont="1" applyFill="1" applyAlignment="1">
      <alignment/>
    </xf>
    <xf numFmtId="4" fontId="2" fillId="49" borderId="0" xfId="95" applyNumberFormat="1" applyFill="1">
      <alignment/>
      <protection/>
    </xf>
    <xf numFmtId="0" fontId="59" fillId="49" borderId="0" xfId="0" applyFont="1" applyFill="1" applyAlignment="1">
      <alignment horizontal="justify"/>
    </xf>
    <xf numFmtId="49" fontId="26" fillId="49" borderId="37" xfId="95" applyNumberFormat="1" applyFont="1" applyFill="1" applyBorder="1" applyAlignment="1">
      <alignment horizontal="left" vertical="center"/>
      <protection/>
    </xf>
    <xf numFmtId="2" fontId="2" fillId="49" borderId="0" xfId="95" applyNumberFormat="1" applyFill="1">
      <alignment/>
      <protection/>
    </xf>
    <xf numFmtId="173" fontId="2" fillId="49" borderId="28" xfId="130" applyNumberFormat="1" applyFont="1" applyFill="1" applyBorder="1" applyAlignment="1">
      <alignment horizontal="center" vertical="center"/>
    </xf>
    <xf numFmtId="173" fontId="3" fillId="49" borderId="28" xfId="130" applyNumberFormat="1" applyFont="1" applyFill="1" applyBorder="1" applyAlignment="1">
      <alignment horizontal="center" vertical="center" wrapText="1"/>
    </xf>
    <xf numFmtId="173" fontId="3" fillId="49" borderId="28" xfId="130" applyNumberFormat="1" applyFont="1" applyFill="1" applyBorder="1" applyAlignment="1">
      <alignment horizontal="center" vertical="center"/>
    </xf>
    <xf numFmtId="173" fontId="2" fillId="49" borderId="28" xfId="130" applyNumberFormat="1" applyFont="1" applyFill="1" applyBorder="1" applyAlignment="1">
      <alignment vertical="center"/>
    </xf>
    <xf numFmtId="173" fontId="3" fillId="49" borderId="28" xfId="130" applyNumberFormat="1" applyFont="1" applyFill="1" applyBorder="1" applyAlignment="1">
      <alignment vertical="center"/>
    </xf>
    <xf numFmtId="49" fontId="27" fillId="49" borderId="0" xfId="95" applyNumberFormat="1" applyFont="1" applyFill="1" applyAlignment="1">
      <alignment horizontal="left" vertical="center"/>
      <protection/>
    </xf>
    <xf numFmtId="0" fontId="4" fillId="49" borderId="28" xfId="95" applyFont="1" applyFill="1" applyBorder="1" applyAlignment="1">
      <alignment horizontal="center" vertical="center" wrapText="1"/>
      <protection/>
    </xf>
    <xf numFmtId="165" fontId="2" fillId="49" borderId="0" xfId="95" applyNumberFormat="1" applyFill="1">
      <alignment/>
      <protection/>
    </xf>
    <xf numFmtId="0" fontId="2" fillId="49" borderId="28" xfId="95" applyFont="1" applyFill="1" applyBorder="1" applyAlignment="1">
      <alignment horizontal="center" vertical="center" wrapText="1"/>
      <protection/>
    </xf>
    <xf numFmtId="173" fontId="2" fillId="49" borderId="28" xfId="95" applyNumberFormat="1" applyFont="1" applyFill="1" applyBorder="1" applyAlignment="1">
      <alignment vertical="center" wrapText="1"/>
      <protection/>
    </xf>
    <xf numFmtId="173" fontId="2" fillId="49" borderId="28" xfId="95" applyNumberFormat="1" applyFont="1" applyFill="1" applyBorder="1" applyAlignment="1">
      <alignment horizontal="left" vertical="center" wrapText="1"/>
      <protection/>
    </xf>
    <xf numFmtId="0" fontId="2" fillId="49" borderId="28" xfId="0" applyFont="1" applyFill="1" applyBorder="1" applyAlignment="1">
      <alignment vertical="center"/>
    </xf>
    <xf numFmtId="199" fontId="2" fillId="49" borderId="28" xfId="95" applyNumberFormat="1" applyFont="1" applyFill="1" applyBorder="1" applyAlignment="1">
      <alignment vertical="center" wrapText="1"/>
      <protection/>
    </xf>
    <xf numFmtId="0" fontId="2" fillId="49" borderId="28" xfId="95" applyFont="1" applyFill="1" applyBorder="1" applyAlignment="1">
      <alignment horizontal="left" vertical="center" wrapText="1" indent="3"/>
      <protection/>
    </xf>
    <xf numFmtId="173" fontId="2" fillId="49" borderId="28" xfId="95" applyNumberFormat="1" applyFont="1" applyFill="1" applyBorder="1" applyAlignment="1">
      <alignment horizontal="center" vertical="center" wrapText="1"/>
      <protection/>
    </xf>
    <xf numFmtId="0" fontId="2" fillId="49" borderId="28" xfId="95" applyFont="1" applyFill="1" applyBorder="1" applyAlignment="1">
      <alignment horizontal="left" vertical="center" wrapText="1" indent="5"/>
      <protection/>
    </xf>
    <xf numFmtId="0" fontId="2" fillId="49" borderId="28" xfId="95" applyFont="1" applyFill="1" applyBorder="1" applyAlignment="1">
      <alignment horizontal="left" vertical="center" indent="7"/>
      <protection/>
    </xf>
    <xf numFmtId="199" fontId="2" fillId="49" borderId="28" xfId="95" applyNumberFormat="1" applyFont="1" applyFill="1" applyBorder="1" applyAlignment="1">
      <alignment/>
      <protection/>
    </xf>
    <xf numFmtId="173" fontId="2" fillId="49" borderId="28" xfId="95" applyNumberFormat="1" applyFont="1" applyFill="1" applyBorder="1" applyAlignment="1">
      <alignment/>
      <protection/>
    </xf>
    <xf numFmtId="173" fontId="2" fillId="49" borderId="28" xfId="95" applyNumberFormat="1" applyFont="1" applyFill="1" applyBorder="1" applyAlignment="1">
      <alignment horizontal="left" vertical="center" wrapText="1" indent="1"/>
      <protection/>
    </xf>
    <xf numFmtId="0" fontId="2" fillId="49" borderId="28" xfId="95" applyFont="1" applyFill="1" applyBorder="1" applyAlignment="1">
      <alignment/>
      <protection/>
    </xf>
    <xf numFmtId="173" fontId="2" fillId="49" borderId="28" xfId="95" applyNumberFormat="1" applyFont="1" applyFill="1" applyBorder="1" applyAlignment="1">
      <alignment horizontal="center"/>
      <protection/>
    </xf>
    <xf numFmtId="173" fontId="2" fillId="49" borderId="28" xfId="95" applyNumberFormat="1" applyFont="1" applyFill="1" applyBorder="1">
      <alignment/>
      <protection/>
    </xf>
    <xf numFmtId="0" fontId="2" fillId="49" borderId="28" xfId="95" applyFont="1" applyFill="1" applyBorder="1" applyAlignment="1">
      <alignment horizontal="left" vertical="center" indent="1"/>
      <protection/>
    </xf>
    <xf numFmtId="173" fontId="66" fillId="49" borderId="28" xfId="0" applyNumberFormat="1" applyFont="1" applyFill="1" applyBorder="1" applyAlignment="1">
      <alignment horizontal="center"/>
    </xf>
    <xf numFmtId="0" fontId="2" fillId="49" borderId="28" xfId="95" applyFont="1" applyFill="1" applyBorder="1" applyAlignment="1">
      <alignment horizontal="left" vertical="center" wrapText="1" indent="1"/>
      <protection/>
    </xf>
    <xf numFmtId="173" fontId="3" fillId="49" borderId="28" xfId="0" applyNumberFormat="1" applyFont="1" applyFill="1" applyBorder="1" applyAlignment="1">
      <alignment horizontal="center"/>
    </xf>
    <xf numFmtId="173" fontId="66" fillId="49" borderId="28" xfId="0" applyNumberFormat="1" applyFont="1" applyFill="1" applyBorder="1" applyAlignment="1">
      <alignment/>
    </xf>
    <xf numFmtId="0" fontId="2" fillId="49" borderId="28" xfId="95" applyFont="1" applyFill="1" applyBorder="1" applyAlignment="1">
      <alignment horizontal="left" vertical="center" indent="3"/>
      <protection/>
    </xf>
    <xf numFmtId="199" fontId="61" fillId="49" borderId="28" xfId="130" applyNumberFormat="1" applyFont="1" applyFill="1" applyBorder="1" applyAlignment="1">
      <alignment horizontal="center" vertical="center"/>
    </xf>
    <xf numFmtId="199" fontId="61" fillId="49" borderId="28" xfId="130" applyNumberFormat="1" applyFont="1" applyFill="1" applyBorder="1" applyAlignment="1">
      <alignment vertical="center"/>
    </xf>
    <xf numFmtId="0" fontId="66" fillId="49" borderId="28" xfId="0" applyFont="1" applyFill="1" applyBorder="1" applyAlignment="1">
      <alignment/>
    </xf>
    <xf numFmtId="173" fontId="66" fillId="49" borderId="28" xfId="0" applyNumberFormat="1" applyFont="1" applyFill="1" applyBorder="1" applyAlignment="1">
      <alignment/>
    </xf>
    <xf numFmtId="2" fontId="61" fillId="49" borderId="28" xfId="0" applyNumberFormat="1" applyFont="1" applyFill="1" applyBorder="1" applyAlignment="1">
      <alignment horizontal="center"/>
    </xf>
    <xf numFmtId="2" fontId="61" fillId="49" borderId="28" xfId="0" applyNumberFormat="1" applyFont="1" applyFill="1" applyBorder="1" applyAlignment="1">
      <alignment/>
    </xf>
    <xf numFmtId="173" fontId="61" fillId="49" borderId="28" xfId="0" applyNumberFormat="1" applyFont="1" applyFill="1" applyBorder="1" applyAlignment="1">
      <alignment/>
    </xf>
    <xf numFmtId="191" fontId="3" fillId="49" borderId="28" xfId="0" applyNumberFormat="1" applyFont="1" applyFill="1" applyBorder="1" applyAlignment="1">
      <alignment/>
    </xf>
    <xf numFmtId="173" fontId="3" fillId="49" borderId="28" xfId="0" applyNumberFormat="1" applyFont="1" applyFill="1" applyBorder="1" applyAlignment="1">
      <alignment/>
    </xf>
    <xf numFmtId="173" fontId="3" fillId="49" borderId="28" xfId="0" applyNumberFormat="1" applyFont="1" applyFill="1" applyBorder="1" applyAlignment="1">
      <alignment/>
    </xf>
    <xf numFmtId="191" fontId="61" fillId="49" borderId="28" xfId="0" applyNumberFormat="1" applyFont="1" applyFill="1" applyBorder="1" applyAlignment="1">
      <alignment horizontal="center"/>
    </xf>
    <xf numFmtId="191" fontId="61" fillId="49" borderId="28" xfId="0" applyNumberFormat="1" applyFont="1" applyFill="1" applyBorder="1" applyAlignment="1">
      <alignment/>
    </xf>
    <xf numFmtId="191" fontId="61" fillId="49" borderId="28" xfId="0" applyNumberFormat="1" applyFont="1" applyFill="1" applyBorder="1" applyAlignment="1">
      <alignment horizontal="right"/>
    </xf>
    <xf numFmtId="211" fontId="61" fillId="49" borderId="28" xfId="0" applyNumberFormat="1" applyFont="1" applyFill="1" applyBorder="1" applyAlignment="1">
      <alignment horizontal="right"/>
    </xf>
    <xf numFmtId="0" fontId="66" fillId="49" borderId="28" xfId="0" applyFont="1" applyFill="1" applyBorder="1" applyAlignment="1">
      <alignment horizontal="center"/>
    </xf>
    <xf numFmtId="0" fontId="66" fillId="49" borderId="28" xfId="0" applyFont="1" applyFill="1" applyBorder="1" applyAlignment="1">
      <alignment/>
    </xf>
    <xf numFmtId="165" fontId="3" fillId="49" borderId="28" xfId="0" applyNumberFormat="1" applyFont="1" applyFill="1" applyBorder="1" applyAlignment="1">
      <alignment horizontal="center"/>
    </xf>
    <xf numFmtId="165" fontId="66" fillId="49" borderId="28" xfId="0" applyNumberFormat="1" applyFont="1" applyFill="1" applyBorder="1" applyAlignment="1">
      <alignment/>
    </xf>
    <xf numFmtId="0" fontId="61" fillId="49" borderId="28" xfId="0" applyFont="1" applyFill="1" applyBorder="1" applyAlignment="1">
      <alignment horizontal="center"/>
    </xf>
    <xf numFmtId="0" fontId="67" fillId="49" borderId="28" xfId="0" applyFont="1" applyFill="1" applyBorder="1" applyAlignment="1">
      <alignment/>
    </xf>
    <xf numFmtId="0" fontId="67" fillId="49" borderId="28" xfId="0" applyFont="1" applyFill="1" applyBorder="1" applyAlignment="1">
      <alignment horizontal="center"/>
    </xf>
    <xf numFmtId="0" fontId="67" fillId="49" borderId="28" xfId="0" applyFont="1" applyFill="1" applyBorder="1" applyAlignment="1">
      <alignment/>
    </xf>
    <xf numFmtId="211" fontId="61" fillId="49" borderId="28" xfId="0" applyNumberFormat="1" applyFont="1" applyFill="1" applyBorder="1" applyAlignment="1">
      <alignment horizontal="center" vertical="center"/>
    </xf>
    <xf numFmtId="2" fontId="66" fillId="49" borderId="28" xfId="0" applyNumberFormat="1" applyFont="1" applyFill="1" applyBorder="1" applyAlignment="1">
      <alignment/>
    </xf>
    <xf numFmtId="2" fontId="66" fillId="49" borderId="28" xfId="0" applyNumberFormat="1" applyFont="1" applyFill="1" applyBorder="1" applyAlignment="1">
      <alignment horizontal="center"/>
    </xf>
    <xf numFmtId="2" fontId="66" fillId="49" borderId="28" xfId="0" applyNumberFormat="1" applyFont="1" applyFill="1" applyBorder="1" applyAlignment="1">
      <alignment/>
    </xf>
    <xf numFmtId="211" fontId="61" fillId="49" borderId="28" xfId="0" applyNumberFormat="1" applyFont="1" applyFill="1" applyBorder="1" applyAlignment="1">
      <alignment horizontal="center"/>
    </xf>
    <xf numFmtId="211" fontId="3" fillId="49" borderId="28" xfId="0" applyNumberFormat="1" applyFont="1" applyFill="1" applyBorder="1" applyAlignment="1">
      <alignment horizontal="center"/>
    </xf>
    <xf numFmtId="213" fontId="3" fillId="49" borderId="28" xfId="0" applyNumberFormat="1" applyFont="1" applyFill="1" applyBorder="1" applyAlignment="1">
      <alignment horizontal="center"/>
    </xf>
    <xf numFmtId="173" fontId="61" fillId="49" borderId="28" xfId="0" applyNumberFormat="1" applyFont="1" applyFill="1" applyBorder="1" applyAlignment="1">
      <alignment horizontal="center" vertical="center"/>
    </xf>
    <xf numFmtId="173" fontId="61" fillId="49" borderId="28" xfId="0" applyNumberFormat="1" applyFont="1" applyFill="1" applyBorder="1" applyAlignment="1">
      <alignment vertical="center"/>
    </xf>
    <xf numFmtId="2" fontId="3" fillId="49" borderId="28" xfId="0" applyNumberFormat="1" applyFont="1" applyFill="1" applyBorder="1" applyAlignment="1">
      <alignment horizontal="center" vertical="center"/>
    </xf>
    <xf numFmtId="2" fontId="3" fillId="49" borderId="28" xfId="0" applyNumberFormat="1" applyFont="1" applyFill="1" applyBorder="1" applyAlignment="1">
      <alignment vertical="center"/>
    </xf>
    <xf numFmtId="173" fontId="3" fillId="49" borderId="28" xfId="0" applyNumberFormat="1" applyFont="1" applyFill="1" applyBorder="1" applyAlignment="1">
      <alignment vertical="center"/>
    </xf>
    <xf numFmtId="2" fontId="61" fillId="49" borderId="28" xfId="0" applyNumberFormat="1" applyFont="1" applyFill="1" applyBorder="1" applyAlignment="1">
      <alignment horizontal="right"/>
    </xf>
    <xf numFmtId="2" fontId="3" fillId="49" borderId="28" xfId="0" applyNumberFormat="1" applyFont="1" applyFill="1" applyBorder="1" applyAlignment="1">
      <alignment horizontal="right"/>
    </xf>
    <xf numFmtId="191" fontId="66" fillId="49" borderId="28" xfId="0" applyNumberFormat="1" applyFont="1" applyFill="1" applyBorder="1" applyAlignment="1">
      <alignment horizontal="right"/>
    </xf>
    <xf numFmtId="2" fontId="3" fillId="49" borderId="28" xfId="0" applyNumberFormat="1" applyFont="1" applyFill="1" applyBorder="1" applyAlignment="1">
      <alignment horizontal="right" vertical="center"/>
    </xf>
    <xf numFmtId="2" fontId="66" fillId="49" borderId="28" xfId="0" applyNumberFormat="1" applyFont="1" applyFill="1" applyBorder="1" applyAlignment="1">
      <alignment horizontal="right" vertical="center"/>
    </xf>
    <xf numFmtId="173" fontId="66" fillId="49" borderId="28" xfId="0" applyNumberFormat="1" applyFont="1" applyFill="1" applyBorder="1" applyAlignment="1">
      <alignment vertical="center"/>
    </xf>
    <xf numFmtId="2" fontId="2" fillId="49" borderId="28" xfId="95" applyNumberFormat="1" applyFont="1" applyFill="1" applyBorder="1" applyAlignment="1">
      <alignment horizontal="right" vertical="center"/>
      <protection/>
    </xf>
    <xf numFmtId="173" fontId="2" fillId="49" borderId="28" xfId="95" applyNumberFormat="1" applyFont="1" applyFill="1" applyBorder="1" applyAlignment="1">
      <alignment vertical="center"/>
      <protection/>
    </xf>
    <xf numFmtId="2" fontId="61" fillId="49" borderId="28" xfId="0" applyNumberFormat="1" applyFont="1" applyFill="1" applyBorder="1" applyAlignment="1">
      <alignment vertical="center"/>
    </xf>
    <xf numFmtId="2" fontId="3" fillId="49" borderId="28" xfId="0" applyNumberFormat="1" applyFont="1" applyFill="1" applyBorder="1" applyAlignment="1">
      <alignment/>
    </xf>
    <xf numFmtId="4" fontId="61" fillId="49" borderId="28" xfId="0" applyNumberFormat="1" applyFont="1" applyFill="1" applyBorder="1" applyAlignment="1">
      <alignment horizontal="center"/>
    </xf>
    <xf numFmtId="4" fontId="3" fillId="49" borderId="28" xfId="0" applyNumberFormat="1" applyFont="1" applyFill="1" applyBorder="1" applyAlignment="1">
      <alignment horizontal="center"/>
    </xf>
    <xf numFmtId="4" fontId="66" fillId="49" borderId="28" xfId="0" applyNumberFormat="1" applyFont="1" applyFill="1" applyBorder="1" applyAlignment="1">
      <alignment/>
    </xf>
    <xf numFmtId="4" fontId="66" fillId="49" borderId="28" xfId="0" applyNumberFormat="1" applyFont="1" applyFill="1" applyBorder="1" applyAlignment="1">
      <alignment horizontal="center"/>
    </xf>
    <xf numFmtId="4" fontId="66" fillId="49" borderId="28" xfId="0" applyNumberFormat="1" applyFont="1" applyFill="1" applyBorder="1" applyAlignment="1">
      <alignment/>
    </xf>
    <xf numFmtId="199" fontId="61" fillId="49" borderId="28" xfId="0" applyNumberFormat="1" applyFont="1" applyFill="1" applyBorder="1" applyAlignment="1">
      <alignment horizontal="center" vertical="center"/>
    </xf>
    <xf numFmtId="0" fontId="2" fillId="49" borderId="28" xfId="95" applyFont="1" applyFill="1" applyBorder="1" applyAlignment="1">
      <alignment vertical="center"/>
      <protection/>
    </xf>
    <xf numFmtId="0" fontId="2" fillId="49" borderId="28" xfId="95" applyFont="1" applyFill="1" applyBorder="1" applyAlignment="1">
      <alignment horizontal="center" vertical="center"/>
      <protection/>
    </xf>
    <xf numFmtId="4" fontId="2" fillId="49" borderId="28" xfId="0" applyNumberFormat="1" applyFont="1" applyFill="1" applyBorder="1" applyAlignment="1">
      <alignment horizontal="center"/>
    </xf>
    <xf numFmtId="211" fontId="3" fillId="49" borderId="28" xfId="0" applyNumberFormat="1" applyFont="1" applyFill="1" applyBorder="1" applyAlignment="1">
      <alignment horizontal="center" vertical="center"/>
    </xf>
    <xf numFmtId="213" fontId="3" fillId="49" borderId="28" xfId="0" applyNumberFormat="1" applyFont="1" applyFill="1" applyBorder="1" applyAlignment="1">
      <alignment horizontal="center" vertical="center"/>
    </xf>
    <xf numFmtId="187" fontId="3" fillId="49" borderId="28" xfId="0" applyNumberFormat="1" applyFont="1" applyFill="1" applyBorder="1" applyAlignment="1">
      <alignment horizontal="center" vertical="center"/>
    </xf>
    <xf numFmtId="187" fontId="3" fillId="49" borderId="28" xfId="0" applyNumberFormat="1" applyFont="1" applyFill="1" applyBorder="1" applyAlignment="1">
      <alignment vertical="center"/>
    </xf>
    <xf numFmtId="213" fontId="3" fillId="49" borderId="28" xfId="0" applyNumberFormat="1" applyFont="1" applyFill="1" applyBorder="1" applyAlignment="1">
      <alignment vertical="center"/>
    </xf>
    <xf numFmtId="0" fontId="3" fillId="49" borderId="28" xfId="0" applyFont="1" applyFill="1" applyBorder="1" applyAlignment="1">
      <alignment horizontal="center" vertical="center"/>
    </xf>
    <xf numFmtId="213" fontId="66" fillId="49" borderId="28" xfId="0" applyNumberFormat="1" applyFont="1" applyFill="1" applyBorder="1" applyAlignment="1">
      <alignment/>
    </xf>
    <xf numFmtId="213" fontId="66" fillId="49" borderId="28" xfId="0" applyNumberFormat="1" applyFont="1" applyFill="1" applyBorder="1" applyAlignment="1">
      <alignment horizontal="center"/>
    </xf>
    <xf numFmtId="213" fontId="66" fillId="49" borderId="28" xfId="0" applyNumberFormat="1" applyFont="1" applyFill="1" applyBorder="1" applyAlignment="1">
      <alignment/>
    </xf>
    <xf numFmtId="211" fontId="3" fillId="49" borderId="28" xfId="0" applyNumberFormat="1" applyFont="1" applyFill="1" applyBorder="1" applyAlignment="1">
      <alignment horizontal="right" vertical="center"/>
    </xf>
    <xf numFmtId="213" fontId="3" fillId="49" borderId="28" xfId="0" applyNumberFormat="1" applyFont="1" applyFill="1" applyBorder="1" applyAlignment="1">
      <alignment horizontal="right" vertical="center"/>
    </xf>
    <xf numFmtId="191" fontId="3" fillId="49" borderId="28" xfId="0" applyNumberFormat="1" applyFont="1" applyFill="1" applyBorder="1" applyAlignment="1">
      <alignment horizontal="center" vertical="center"/>
    </xf>
    <xf numFmtId="2" fontId="3" fillId="49" borderId="28" xfId="0" applyNumberFormat="1" applyFont="1" applyFill="1" applyBorder="1" applyAlignment="1">
      <alignment horizontal="center"/>
    </xf>
    <xf numFmtId="191" fontId="3" fillId="49" borderId="28" xfId="0" applyNumberFormat="1" applyFont="1" applyFill="1" applyBorder="1" applyAlignment="1">
      <alignment horizontal="right"/>
    </xf>
    <xf numFmtId="0" fontId="3" fillId="49" borderId="28" xfId="0" applyFont="1" applyFill="1" applyBorder="1" applyAlignment="1">
      <alignment horizontal="right"/>
    </xf>
    <xf numFmtId="0" fontId="66" fillId="49" borderId="28" xfId="0" applyFont="1" applyFill="1" applyBorder="1" applyAlignment="1">
      <alignment horizontal="right"/>
    </xf>
    <xf numFmtId="2" fontId="66" fillId="49" borderId="28" xfId="0" applyNumberFormat="1" applyFont="1" applyFill="1" applyBorder="1" applyAlignment="1">
      <alignment horizontal="right"/>
    </xf>
    <xf numFmtId="209" fontId="3" fillId="49" borderId="28" xfId="0" applyNumberFormat="1" applyFont="1" applyFill="1" applyBorder="1" applyAlignment="1">
      <alignment horizontal="center"/>
    </xf>
    <xf numFmtId="209" fontId="3" fillId="49" borderId="28" xfId="0" applyNumberFormat="1" applyFont="1" applyFill="1" applyBorder="1" applyAlignment="1">
      <alignment/>
    </xf>
    <xf numFmtId="0" fontId="2" fillId="49" borderId="0" xfId="95" applyFont="1" applyFill="1" applyAlignment="1">
      <alignment vertical="center"/>
      <protection/>
    </xf>
    <xf numFmtId="0" fontId="2" fillId="49" borderId="28" xfId="95" applyFont="1" applyFill="1" applyBorder="1" applyAlignment="1">
      <alignment horizontal="left" vertical="center" indent="5"/>
      <protection/>
    </xf>
    <xf numFmtId="0" fontId="66" fillId="49" borderId="28" xfId="0" applyFont="1" applyFill="1" applyBorder="1" applyAlignment="1">
      <alignment vertical="center"/>
    </xf>
    <xf numFmtId="0" fontId="66" fillId="49" borderId="28" xfId="0" applyFont="1" applyFill="1" applyBorder="1" applyAlignment="1">
      <alignment horizontal="center" vertical="center"/>
    </xf>
    <xf numFmtId="0" fontId="61" fillId="49" borderId="28" xfId="0" applyFont="1" applyFill="1" applyBorder="1" applyAlignment="1">
      <alignment horizontal="center" vertical="center"/>
    </xf>
    <xf numFmtId="0" fontId="67" fillId="49" borderId="28" xfId="0" applyFont="1" applyFill="1" applyBorder="1" applyAlignment="1">
      <alignment vertical="center"/>
    </xf>
    <xf numFmtId="0" fontId="67" fillId="49" borderId="28" xfId="0" applyFont="1" applyFill="1" applyBorder="1" applyAlignment="1">
      <alignment horizontal="center" vertical="center"/>
    </xf>
    <xf numFmtId="4" fontId="3" fillId="49" borderId="28" xfId="0" applyNumberFormat="1" applyFont="1" applyFill="1" applyBorder="1" applyAlignment="1">
      <alignment/>
    </xf>
    <xf numFmtId="4" fontId="3" fillId="49" borderId="28" xfId="0" applyNumberFormat="1" applyFont="1" applyFill="1" applyBorder="1" applyAlignment="1">
      <alignment/>
    </xf>
    <xf numFmtId="190" fontId="3" fillId="49" borderId="28" xfId="0" applyNumberFormat="1" applyFont="1" applyFill="1" applyBorder="1" applyAlignment="1">
      <alignment horizontal="center" vertical="center"/>
    </xf>
    <xf numFmtId="190" fontId="3" fillId="49" borderId="28" xfId="0" applyNumberFormat="1" applyFont="1" applyFill="1" applyBorder="1" applyAlignment="1">
      <alignment vertical="center"/>
    </xf>
    <xf numFmtId="173" fontId="3" fillId="49" borderId="28" xfId="130" applyNumberFormat="1" applyFont="1" applyFill="1" applyBorder="1" applyAlignment="1">
      <alignment horizontal="right" vertical="center"/>
    </xf>
    <xf numFmtId="173" fontId="3" fillId="49" borderId="28" xfId="0" applyNumberFormat="1" applyFont="1" applyFill="1" applyBorder="1" applyAlignment="1">
      <alignment horizontal="right"/>
    </xf>
    <xf numFmtId="2" fontId="3" fillId="49" borderId="28" xfId="130" applyNumberFormat="1" applyFont="1" applyFill="1" applyBorder="1" applyAlignment="1">
      <alignment horizontal="center" vertical="center"/>
    </xf>
    <xf numFmtId="211" fontId="3" fillId="49" borderId="28" xfId="0" applyNumberFormat="1" applyFont="1" applyFill="1" applyBorder="1" applyAlignment="1">
      <alignment horizontal="right"/>
    </xf>
    <xf numFmtId="213" fontId="3" fillId="49" borderId="28" xfId="130" applyNumberFormat="1" applyFont="1" applyFill="1" applyBorder="1" applyAlignment="1">
      <alignment horizontal="center" vertical="center"/>
    </xf>
    <xf numFmtId="173" fontId="3" fillId="49" borderId="28" xfId="0" applyNumberFormat="1" applyFont="1" applyFill="1" applyBorder="1" applyAlignment="1">
      <alignment horizontal="center" vertical="center"/>
    </xf>
    <xf numFmtId="199" fontId="3" fillId="49" borderId="28" xfId="0" applyNumberFormat="1" applyFont="1" applyFill="1" applyBorder="1" applyAlignment="1">
      <alignment horizontal="center" vertical="center"/>
    </xf>
    <xf numFmtId="0" fontId="92" fillId="49" borderId="0" xfId="95" applyFont="1" applyFill="1">
      <alignment/>
      <protection/>
    </xf>
    <xf numFmtId="213" fontId="2" fillId="49" borderId="0" xfId="95" applyNumberFormat="1" applyFill="1">
      <alignment/>
      <protection/>
    </xf>
    <xf numFmtId="209" fontId="2" fillId="49" borderId="28" xfId="95" applyNumberFormat="1" applyFont="1" applyFill="1" applyBorder="1" applyAlignment="1">
      <alignment horizontal="right" vertical="center" wrapText="1"/>
      <protection/>
    </xf>
    <xf numFmtId="0" fontId="51" fillId="0" borderId="0" xfId="93" applyFont="1" applyAlignment="1">
      <alignment horizontal="center" vertical="center" wrapText="1"/>
      <protection/>
    </xf>
    <xf numFmtId="0" fontId="51" fillId="0" borderId="0" xfId="108" applyFont="1" applyAlignment="1">
      <alignment horizontal="center" vertical="center" wrapText="1"/>
      <protection/>
    </xf>
    <xf numFmtId="0" fontId="4" fillId="42" borderId="38" xfId="0" applyFont="1" applyFill="1" applyBorder="1" applyAlignment="1">
      <alignment horizontal="center" vertical="center" wrapText="1"/>
    </xf>
    <xf numFmtId="0" fontId="4" fillId="42" borderId="0" xfId="0" applyFont="1" applyFill="1" applyAlignment="1">
      <alignment horizontal="center" vertical="center" wrapText="1"/>
    </xf>
    <xf numFmtId="0" fontId="4" fillId="42" borderId="28" xfId="0" applyFont="1" applyFill="1" applyBorder="1" applyAlignment="1">
      <alignment horizontal="center" vertical="center" wrapText="1"/>
    </xf>
    <xf numFmtId="0" fontId="51" fillId="0" borderId="0" xfId="108" applyFont="1" applyAlignment="1">
      <alignment horizontal="left" vertical="center" wrapText="1"/>
      <protection/>
    </xf>
    <xf numFmtId="0" fontId="41" fillId="49" borderId="0" xfId="95" applyFont="1" applyFill="1" applyAlignment="1">
      <alignment horizontal="center" vertical="center" wrapText="1"/>
      <protection/>
    </xf>
    <xf numFmtId="0" fontId="59" fillId="49" borderId="0" xfId="0" applyFont="1" applyFill="1" applyAlignment="1">
      <alignment horizontal="left" vertical="center"/>
    </xf>
    <xf numFmtId="0" fontId="3" fillId="49" borderId="0" xfId="0" applyFont="1" applyFill="1" applyAlignment="1">
      <alignment horizontal="center" vertical="center"/>
    </xf>
    <xf numFmtId="0" fontId="93" fillId="49" borderId="0" xfId="0" applyFont="1" applyFill="1" applyAlignment="1">
      <alignment horizontal="left" vertical="center" wrapText="1"/>
    </xf>
    <xf numFmtId="0" fontId="94" fillId="49" borderId="0" xfId="0" applyFont="1" applyFill="1" applyAlignment="1">
      <alignment horizontal="left" vertical="top"/>
    </xf>
    <xf numFmtId="0" fontId="59" fillId="49" borderId="0" xfId="0" applyFont="1" applyFill="1" applyAlignment="1">
      <alignment horizontal="left" vertical="center" wrapText="1"/>
    </xf>
    <xf numFmtId="0" fontId="43" fillId="49" borderId="0" xfId="95" applyFont="1" applyFill="1" applyAlignment="1">
      <alignment horizontal="center" vertical="center" wrapText="1"/>
      <protection/>
    </xf>
    <xf numFmtId="49" fontId="26" fillId="49" borderId="28" xfId="95" applyNumberFormat="1" applyFont="1" applyFill="1" applyBorder="1" applyAlignment="1">
      <alignment horizontal="center" vertical="center" wrapText="1"/>
      <protection/>
    </xf>
    <xf numFmtId="0" fontId="4" fillId="49" borderId="28" xfId="95" applyFont="1" applyFill="1" applyBorder="1" applyAlignment="1">
      <alignment horizontal="center" vertical="center" wrapText="1"/>
      <protection/>
    </xf>
    <xf numFmtId="49" fontId="3" fillId="49" borderId="28" xfId="95" applyNumberFormat="1" applyFont="1" applyFill="1" applyBorder="1" applyAlignment="1">
      <alignment horizontal="center" vertical="center"/>
      <protection/>
    </xf>
    <xf numFmtId="49" fontId="27" fillId="49" borderId="0" xfId="95" applyNumberFormat="1" applyFont="1" applyFill="1" applyAlignment="1">
      <alignment horizontal="left" vertical="center"/>
      <protection/>
    </xf>
    <xf numFmtId="0" fontId="27" fillId="49" borderId="0" xfId="95" applyFont="1" applyFill="1" applyAlignment="1">
      <alignment horizontal="left" vertical="top" wrapText="1"/>
      <protection/>
    </xf>
    <xf numFmtId="0" fontId="63" fillId="49" borderId="28" xfId="95" applyFont="1" applyFill="1" applyBorder="1" applyAlignment="1">
      <alignment horizontal="center" vertical="center" wrapText="1"/>
      <protection/>
    </xf>
    <xf numFmtId="49" fontId="27" fillId="49" borderId="28" xfId="95" applyNumberFormat="1" applyFont="1" applyFill="1" applyBorder="1" applyAlignment="1">
      <alignment horizontal="center" vertical="center" wrapText="1"/>
      <protection/>
    </xf>
    <xf numFmtId="0" fontId="2" fillId="49" borderId="28" xfId="95" applyFont="1" applyFill="1" applyBorder="1" applyAlignment="1">
      <alignment horizontal="center" vertical="center" wrapText="1"/>
      <protection/>
    </xf>
    <xf numFmtId="0" fontId="2" fillId="49" borderId="28" xfId="95" applyFont="1" applyFill="1" applyBorder="1" applyAlignment="1">
      <alignment horizontal="left" vertical="center" wrapText="1"/>
      <protection/>
    </xf>
    <xf numFmtId="173" fontId="2" fillId="49" borderId="28" xfId="95" applyNumberFormat="1" applyFont="1" applyFill="1" applyBorder="1" applyAlignment="1">
      <alignment horizontal="right" vertical="center" wrapText="1"/>
      <protection/>
    </xf>
    <xf numFmtId="2" fontId="2" fillId="49" borderId="28" xfId="95" applyNumberFormat="1" applyFont="1" applyFill="1" applyBorder="1" applyAlignment="1">
      <alignment horizontal="right" vertical="center" wrapText="1"/>
      <protection/>
    </xf>
  </cellXfs>
  <cellStyles count="12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_BPnov (1)" xfId="109"/>
    <cellStyle name="Обычный_Сводка для эот" xfId="110"/>
    <cellStyle name="Обычный_Формат МЭ  - (кор  08 09 2010) 2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3" xfId="121"/>
    <cellStyle name="Процентный 2 3 2" xfId="122"/>
    <cellStyle name="Процентный 3" xfId="123"/>
    <cellStyle name="Процентный 4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Comma" xfId="130"/>
    <cellStyle name="Comma [0]" xfId="131"/>
    <cellStyle name="Финансовый 2" xfId="132"/>
    <cellStyle name="Финансовый 2 2 2 2 2" xfId="133"/>
    <cellStyle name="Финансовый 3" xfId="134"/>
    <cellStyle name="Финансовый 5" xfId="135"/>
    <cellStyle name="Финансовый 5 2" xfId="136"/>
    <cellStyle name="Финансовый 6" xfId="137"/>
    <cellStyle name="Финансовый_Смета 2000 г." xfId="138"/>
    <cellStyle name="Хороший" xfId="139"/>
    <cellStyle name="Хороший 2" xfId="14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zoomScale="70" zoomScaleNormal="70" zoomScalePageLayoutView="0" workbookViewId="0" topLeftCell="A49">
      <selection activeCell="I83" sqref="I83"/>
    </sheetView>
  </sheetViews>
  <sheetFormatPr defaultColWidth="9.8515625" defaultRowHeight="15"/>
  <cols>
    <col min="1" max="1" width="10.8515625" style="107" customWidth="1"/>
    <col min="2" max="2" width="88.140625" style="107" customWidth="1"/>
    <col min="3" max="3" width="19.57421875" style="107" customWidth="1"/>
    <col min="4" max="4" width="18.140625" style="107" bestFit="1" customWidth="1"/>
    <col min="5" max="6" width="18.7109375" style="107" bestFit="1" customWidth="1"/>
    <col min="7" max="7" width="13.28125" style="65" hidden="1" customWidth="1"/>
    <col min="8" max="8" width="87.57421875" style="65" customWidth="1"/>
    <col min="9" max="9" width="68.7109375" style="65" customWidth="1"/>
    <col min="10" max="10" width="9.8515625" style="65" customWidth="1"/>
    <col min="11" max="16384" width="9.8515625" style="65" customWidth="1"/>
  </cols>
  <sheetData>
    <row r="1" spans="1:7" ht="15.75">
      <c r="A1" s="453" t="s">
        <v>383</v>
      </c>
      <c r="B1" s="454"/>
      <c r="C1" s="454"/>
      <c r="D1" s="454"/>
      <c r="E1" s="454"/>
      <c r="F1" s="454"/>
      <c r="G1" s="454"/>
    </row>
    <row r="2" spans="1:7" ht="16.5" thickBot="1">
      <c r="A2" s="66" t="s">
        <v>147</v>
      </c>
      <c r="B2" s="67" t="s">
        <v>384</v>
      </c>
      <c r="C2" s="68" t="s">
        <v>385</v>
      </c>
      <c r="D2" s="68" t="s">
        <v>386</v>
      </c>
      <c r="E2" s="68" t="s">
        <v>387</v>
      </c>
      <c r="F2" s="68" t="s">
        <v>388</v>
      </c>
      <c r="G2" s="68" t="s">
        <v>345</v>
      </c>
    </row>
    <row r="3" spans="1:8" ht="16.5" thickBot="1">
      <c r="A3" s="69">
        <v>1</v>
      </c>
      <c r="B3" s="70">
        <v>2</v>
      </c>
      <c r="C3" s="71"/>
      <c r="D3" s="71">
        <v>4</v>
      </c>
      <c r="E3" s="71">
        <v>5</v>
      </c>
      <c r="F3" s="71">
        <v>5</v>
      </c>
      <c r="G3" s="72"/>
      <c r="H3" s="73"/>
    </row>
    <row r="4" spans="1:8" ht="15.75">
      <c r="A4" s="74" t="s">
        <v>389</v>
      </c>
      <c r="B4" s="75" t="s">
        <v>390</v>
      </c>
      <c r="C4" s="76">
        <v>1471.4087790958158</v>
      </c>
      <c r="D4" s="76">
        <v>1573.3819227067406</v>
      </c>
      <c r="E4" s="76">
        <v>1585.7592146296631</v>
      </c>
      <c r="F4" s="76">
        <v>1649.5931772703236</v>
      </c>
      <c r="G4" s="77">
        <f>SUM(C4:F4)</f>
        <v>6280.1430937025425</v>
      </c>
      <c r="H4" s="78"/>
    </row>
    <row r="5" spans="1:8" ht="15.75">
      <c r="A5" s="79"/>
      <c r="B5" s="80" t="s">
        <v>391</v>
      </c>
      <c r="C5" s="76"/>
      <c r="D5" s="76"/>
      <c r="E5" s="76"/>
      <c r="F5" s="76"/>
      <c r="G5" s="77" t="e">
        <f>#N/A</f>
        <v>#N/A</v>
      </c>
      <c r="H5" s="73"/>
    </row>
    <row r="6" spans="1:8" ht="31.5">
      <c r="A6" s="79" t="s">
        <v>392</v>
      </c>
      <c r="B6" s="80" t="s">
        <v>393</v>
      </c>
      <c r="C6" s="81">
        <v>1393.5521911251199</v>
      </c>
      <c r="D6" s="76">
        <v>1487.8664643789443</v>
      </c>
      <c r="E6" s="76">
        <v>1527.3172112506459</v>
      </c>
      <c r="F6" s="76">
        <v>1587.9392953829388</v>
      </c>
      <c r="G6" s="77" t="e">
        <f>#N/A</f>
        <v>#N/A</v>
      </c>
      <c r="H6" s="78"/>
    </row>
    <row r="7" spans="1:8" ht="15.75">
      <c r="A7" s="82" t="s">
        <v>394</v>
      </c>
      <c r="B7" s="80" t="s">
        <v>395</v>
      </c>
      <c r="C7" s="81">
        <v>77.85658797069598</v>
      </c>
      <c r="D7" s="76">
        <v>85.51545832779635</v>
      </c>
      <c r="E7" s="76">
        <v>58.442003379017144</v>
      </c>
      <c r="F7" s="76">
        <v>61.65388188738489</v>
      </c>
      <c r="G7" s="77" t="e">
        <f>#N/A</f>
        <v>#N/A</v>
      </c>
      <c r="H7" s="78"/>
    </row>
    <row r="8" spans="1:8" ht="15.75">
      <c r="A8" s="83" t="s">
        <v>396</v>
      </c>
      <c r="B8" s="75" t="s">
        <v>397</v>
      </c>
      <c r="C8" s="84">
        <v>1771.991132</v>
      </c>
      <c r="D8" s="76">
        <v>1891.5538059999997</v>
      </c>
      <c r="E8" s="76">
        <v>1908.3476839999998</v>
      </c>
      <c r="F8" s="76">
        <v>1955.6517599999997</v>
      </c>
      <c r="G8" s="77" t="e">
        <f>#N/A</f>
        <v>#N/A</v>
      </c>
      <c r="H8" s="78"/>
    </row>
    <row r="9" spans="1:8" ht="15.75">
      <c r="A9" s="85" t="s">
        <v>223</v>
      </c>
      <c r="B9" s="75" t="s">
        <v>398</v>
      </c>
      <c r="C9" s="84">
        <v>581.7541118227231</v>
      </c>
      <c r="D9" s="76">
        <v>602.7626911616021</v>
      </c>
      <c r="E9" s="76">
        <v>624.6544780943989</v>
      </c>
      <c r="F9" s="76">
        <v>649.3386130525665</v>
      </c>
      <c r="G9" s="77" t="e">
        <f>#N/A</f>
        <v>#N/A</v>
      </c>
      <c r="H9" s="86"/>
    </row>
    <row r="10" spans="1:8" ht="15.75">
      <c r="A10" s="79"/>
      <c r="B10" s="80" t="s">
        <v>391</v>
      </c>
      <c r="C10" s="87"/>
      <c r="D10" s="88"/>
      <c r="E10" s="88"/>
      <c r="F10" s="88"/>
      <c r="G10" s="77" t="e">
        <f>#N/A</f>
        <v>#N/A</v>
      </c>
      <c r="H10" s="89"/>
    </row>
    <row r="11" spans="1:8" ht="15.75">
      <c r="A11" s="79" t="s">
        <v>392</v>
      </c>
      <c r="B11" s="80" t="s">
        <v>399</v>
      </c>
      <c r="C11" s="87">
        <v>531.8640496496431</v>
      </c>
      <c r="D11" s="88">
        <v>550.0124052093234</v>
      </c>
      <c r="E11" s="88">
        <v>568.7935505622067</v>
      </c>
      <c r="F11" s="88">
        <v>589.8454638499134</v>
      </c>
      <c r="G11" s="77" t="e">
        <f>#N/A</f>
        <v>#N/A</v>
      </c>
      <c r="H11" s="73"/>
    </row>
    <row r="12" spans="1:8" ht="15.75">
      <c r="A12" s="79" t="s">
        <v>394</v>
      </c>
      <c r="B12" s="80" t="s">
        <v>149</v>
      </c>
      <c r="C12" s="87">
        <v>31.666067833079996</v>
      </c>
      <c r="D12" s="88">
        <v>32.87315513539864</v>
      </c>
      <c r="E12" s="88">
        <v>34.35444500383756</v>
      </c>
      <c r="F12" s="88">
        <v>36.24393947904862</v>
      </c>
      <c r="G12" s="77" t="e">
        <f>#N/A</f>
        <v>#N/A</v>
      </c>
      <c r="H12" s="73"/>
    </row>
    <row r="13" spans="1:8" ht="15.75">
      <c r="A13" s="79" t="s">
        <v>400</v>
      </c>
      <c r="B13" s="80" t="s">
        <v>401</v>
      </c>
      <c r="C13" s="87">
        <v>18.223994339999997</v>
      </c>
      <c r="D13" s="88">
        <v>19.877130816879994</v>
      </c>
      <c r="E13" s="88">
        <v>21.50648252835464</v>
      </c>
      <c r="F13" s="88">
        <v>23.249209723604455</v>
      </c>
      <c r="G13" s="77" t="e">
        <f>#N/A</f>
        <v>#N/A</v>
      </c>
      <c r="H13" s="90"/>
    </row>
    <row r="14" spans="1:8" ht="15.75">
      <c r="A14" s="85" t="s">
        <v>258</v>
      </c>
      <c r="B14" s="75" t="s">
        <v>155</v>
      </c>
      <c r="C14" s="84">
        <v>490.7600741640113</v>
      </c>
      <c r="D14" s="76">
        <v>509.40895698224375</v>
      </c>
      <c r="E14" s="76">
        <v>532.3323600464447</v>
      </c>
      <c r="F14" s="76">
        <v>561.6106398489992</v>
      </c>
      <c r="G14" s="77" t="e">
        <f>#N/A</f>
        <v>#N/A</v>
      </c>
      <c r="H14" s="73"/>
    </row>
    <row r="15" spans="1:8" ht="15.75">
      <c r="A15" s="85" t="s">
        <v>329</v>
      </c>
      <c r="B15" s="75" t="s">
        <v>150</v>
      </c>
      <c r="C15" s="84">
        <v>182.08791219999995</v>
      </c>
      <c r="D15" s="91">
        <v>248.444089961</v>
      </c>
      <c r="E15" s="91">
        <v>249.09855200399997</v>
      </c>
      <c r="F15" s="91">
        <v>247.51132661719998</v>
      </c>
      <c r="G15" s="77" t="e">
        <f>#N/A</f>
        <v>#N/A</v>
      </c>
      <c r="H15" s="90"/>
    </row>
    <row r="16" spans="1:8" ht="15.75">
      <c r="A16" s="85" t="s">
        <v>402</v>
      </c>
      <c r="B16" s="75" t="s">
        <v>403</v>
      </c>
      <c r="C16" s="84">
        <v>12.714032999999999</v>
      </c>
      <c r="D16" s="76">
        <v>13.451446914</v>
      </c>
      <c r="E16" s="76">
        <v>14.19127649427</v>
      </c>
      <c r="F16" s="76">
        <v>14.97179670145485</v>
      </c>
      <c r="G16" s="77" t="e">
        <f>#N/A</f>
        <v>#N/A</v>
      </c>
      <c r="H16" s="92"/>
    </row>
    <row r="17" spans="1:8" ht="15.75">
      <c r="A17" s="85" t="s">
        <v>404</v>
      </c>
      <c r="B17" s="75" t="s">
        <v>405</v>
      </c>
      <c r="C17" s="84">
        <v>504.6750008132658</v>
      </c>
      <c r="D17" s="76">
        <v>517.4866209811539</v>
      </c>
      <c r="E17" s="76">
        <v>488.07101736088623</v>
      </c>
      <c r="F17" s="76">
        <v>482.21938377977926</v>
      </c>
      <c r="G17" s="77" t="e">
        <f>#N/A</f>
        <v>#N/A</v>
      </c>
      <c r="H17" s="73"/>
    </row>
    <row r="18" spans="1:8" ht="15.75">
      <c r="A18" s="79"/>
      <c r="B18" s="80" t="s">
        <v>391</v>
      </c>
      <c r="C18" s="87"/>
      <c r="D18" s="88"/>
      <c r="E18" s="88"/>
      <c r="F18" s="88"/>
      <c r="G18" s="77" t="e">
        <f>#N/A</f>
        <v>#N/A</v>
      </c>
      <c r="H18" s="73"/>
    </row>
    <row r="19" spans="1:8" ht="15.75">
      <c r="A19" s="79" t="s">
        <v>406</v>
      </c>
      <c r="B19" s="80" t="s">
        <v>407</v>
      </c>
      <c r="C19" s="87">
        <v>81.4541138</v>
      </c>
      <c r="D19" s="93">
        <v>84.54937012440001</v>
      </c>
      <c r="E19" s="93">
        <v>88.35409177999801</v>
      </c>
      <c r="F19" s="93">
        <v>93.21356682789789</v>
      </c>
      <c r="G19" s="77" t="e">
        <f>#N/A</f>
        <v>#N/A</v>
      </c>
      <c r="H19" s="73"/>
    </row>
    <row r="20" spans="1:8" ht="15.75">
      <c r="A20" s="79" t="s">
        <v>408</v>
      </c>
      <c r="B20" s="80" t="s">
        <v>409</v>
      </c>
      <c r="C20" s="87">
        <v>83.0318875048</v>
      </c>
      <c r="D20" s="93">
        <v>76.2320306507024</v>
      </c>
      <c r="E20" s="93">
        <v>55.973239839984004</v>
      </c>
      <c r="F20" s="93">
        <v>26.906259125183126</v>
      </c>
      <c r="G20" s="77" t="e">
        <f>#N/A</f>
        <v>#N/A</v>
      </c>
      <c r="H20" s="73"/>
    </row>
    <row r="21" spans="1:8" ht="16.5" thickBot="1">
      <c r="A21" s="94" t="s">
        <v>410</v>
      </c>
      <c r="B21" s="80" t="s">
        <v>411</v>
      </c>
      <c r="C21" s="87">
        <v>29.4372308659598</v>
      </c>
      <c r="D21" s="93">
        <v>31.14459025618547</v>
      </c>
      <c r="E21" s="93">
        <v>32.85754272027567</v>
      </c>
      <c r="F21" s="93">
        <v>34.66470756989083</v>
      </c>
      <c r="G21" s="77" t="e">
        <f>#N/A</f>
        <v>#N/A</v>
      </c>
      <c r="H21" s="73"/>
    </row>
    <row r="22" spans="1:8" ht="16.5" thickBot="1">
      <c r="A22" s="95" t="s">
        <v>412</v>
      </c>
      <c r="B22" s="75" t="s">
        <v>413</v>
      </c>
      <c r="C22" s="84">
        <v>-300.5823529041843</v>
      </c>
      <c r="D22" s="76">
        <v>-318.17188329325904</v>
      </c>
      <c r="E22" s="76">
        <v>-322.5884693703367</v>
      </c>
      <c r="F22" s="76">
        <v>-306.0585827296761</v>
      </c>
      <c r="G22" s="77" t="e">
        <f>#N/A</f>
        <v>#N/A</v>
      </c>
      <c r="H22" s="78"/>
    </row>
    <row r="23" spans="1:8" ht="15.75">
      <c r="A23" s="74" t="s">
        <v>414</v>
      </c>
      <c r="B23" s="75" t="s">
        <v>415</v>
      </c>
      <c r="C23" s="84">
        <v>253.47853612210002</v>
      </c>
      <c r="D23" s="76">
        <v>298.69440072895054</v>
      </c>
      <c r="E23" s="76">
        <v>343.39307794321775</v>
      </c>
      <c r="F23" s="76">
        <v>372.35159082009477</v>
      </c>
      <c r="G23" s="77" t="e">
        <f>#N/A</f>
        <v>#N/A</v>
      </c>
      <c r="H23" s="78"/>
    </row>
    <row r="24" spans="1:8" ht="15.75">
      <c r="A24" s="79" t="s">
        <v>223</v>
      </c>
      <c r="B24" s="80" t="s">
        <v>416</v>
      </c>
      <c r="C24" s="87">
        <v>547.2717600190509</v>
      </c>
      <c r="D24" s="88">
        <v>465.27259175792665</v>
      </c>
      <c r="E24" s="88">
        <v>514.8162623415493</v>
      </c>
      <c r="F24" s="88">
        <v>545.2125128603345</v>
      </c>
      <c r="G24" s="77" t="e">
        <f>#N/A</f>
        <v>#N/A</v>
      </c>
      <c r="H24" s="73"/>
    </row>
    <row r="25" spans="1:8" ht="15.75">
      <c r="A25" s="79"/>
      <c r="B25" s="80" t="s">
        <v>417</v>
      </c>
      <c r="C25" s="87"/>
      <c r="D25" s="93"/>
      <c r="E25" s="93"/>
      <c r="F25" s="93"/>
      <c r="G25" s="77" t="e">
        <f>#N/A</f>
        <v>#N/A</v>
      </c>
      <c r="H25" s="73"/>
    </row>
    <row r="26" spans="1:8" ht="15.75">
      <c r="A26" s="79" t="s">
        <v>392</v>
      </c>
      <c r="B26" s="80" t="s">
        <v>418</v>
      </c>
      <c r="C26" s="87">
        <v>0</v>
      </c>
      <c r="D26" s="93">
        <v>0</v>
      </c>
      <c r="E26" s="93">
        <v>0</v>
      </c>
      <c r="F26" s="93">
        <v>0</v>
      </c>
      <c r="G26" s="77" t="e">
        <f>#N/A</f>
        <v>#N/A</v>
      </c>
      <c r="H26" s="73"/>
    </row>
    <row r="27" spans="1:8" ht="15.75">
      <c r="A27" s="79" t="s">
        <v>394</v>
      </c>
      <c r="B27" s="96" t="s">
        <v>419</v>
      </c>
      <c r="C27" s="97">
        <v>3.64871</v>
      </c>
      <c r="D27" s="98">
        <v>3.86033518</v>
      </c>
      <c r="E27" s="98">
        <v>4.0726536149</v>
      </c>
      <c r="F27" s="98">
        <v>4.296649563719499</v>
      </c>
      <c r="G27" s="77" t="e">
        <f>#N/A</f>
        <v>#N/A</v>
      </c>
      <c r="H27" s="73"/>
    </row>
    <row r="28" spans="1:8" ht="15.75">
      <c r="A28" s="79" t="s">
        <v>258</v>
      </c>
      <c r="B28" s="80" t="s">
        <v>420</v>
      </c>
      <c r="C28" s="87">
        <v>293.7932238969509</v>
      </c>
      <c r="D28" s="88">
        <v>166.5781910289761</v>
      </c>
      <c r="E28" s="88">
        <v>171.42318439833156</v>
      </c>
      <c r="F28" s="88">
        <v>172.86092204023979</v>
      </c>
      <c r="G28" s="77" t="e">
        <f>#N/A</f>
        <v>#N/A</v>
      </c>
      <c r="H28" s="99"/>
    </row>
    <row r="29" spans="1:8" ht="15.75">
      <c r="A29" s="79"/>
      <c r="B29" s="80" t="s">
        <v>417</v>
      </c>
      <c r="C29" s="87"/>
      <c r="D29" s="88"/>
      <c r="E29" s="88"/>
      <c r="F29" s="88"/>
      <c r="G29" s="77" t="e">
        <f>#N/A</f>
        <v>#N/A</v>
      </c>
      <c r="H29" s="73"/>
    </row>
    <row r="30" spans="1:8" ht="16.5" thickBot="1">
      <c r="A30" s="94" t="s">
        <v>421</v>
      </c>
      <c r="B30" s="80" t="s">
        <v>422</v>
      </c>
      <c r="C30" s="87">
        <v>31.952114379999998</v>
      </c>
      <c r="D30" s="88">
        <v>24.37875</v>
      </c>
      <c r="E30" s="88">
        <v>21.5325</v>
      </c>
      <c r="F30" s="88">
        <v>14.72625</v>
      </c>
      <c r="G30" s="77" t="e">
        <f>#N/A</f>
        <v>#N/A</v>
      </c>
      <c r="H30" s="73"/>
    </row>
    <row r="31" spans="1:8" ht="16.5" thickBot="1">
      <c r="A31" s="100" t="s">
        <v>423</v>
      </c>
      <c r="B31" s="75" t="s">
        <v>424</v>
      </c>
      <c r="C31" s="84">
        <v>-1.2522714238188826</v>
      </c>
      <c r="D31" s="76">
        <v>29.05721149737508</v>
      </c>
      <c r="E31" s="76">
        <v>70.01301915479678</v>
      </c>
      <c r="F31" s="76">
        <v>112.9799105407082</v>
      </c>
      <c r="G31" s="77" t="e">
        <f>#N/A</f>
        <v>#N/A</v>
      </c>
      <c r="H31" s="78"/>
    </row>
    <row r="32" spans="1:8" ht="16.5" thickBot="1">
      <c r="A32" s="100" t="s">
        <v>425</v>
      </c>
      <c r="B32" s="75" t="s">
        <v>426</v>
      </c>
      <c r="C32" s="84">
        <v>0</v>
      </c>
      <c r="D32" s="76">
        <v>5.811442299475016</v>
      </c>
      <c r="E32" s="76">
        <v>14.002603830959357</v>
      </c>
      <c r="F32" s="76">
        <v>22.59598210814164</v>
      </c>
      <c r="G32" s="77" t="e">
        <f>#N/A</f>
        <v>#N/A</v>
      </c>
      <c r="H32" s="73"/>
    </row>
    <row r="33" spans="1:8" ht="16.5" thickBot="1">
      <c r="A33" s="100" t="s">
        <v>427</v>
      </c>
      <c r="B33" s="75" t="s">
        <v>428</v>
      </c>
      <c r="C33" s="84">
        <v>-1.2522714238188826</v>
      </c>
      <c r="D33" s="91">
        <v>23.245769197900064</v>
      </c>
      <c r="E33" s="91">
        <v>56.01041532383742</v>
      </c>
      <c r="F33" s="91">
        <v>90.38392843256656</v>
      </c>
      <c r="G33" s="77" t="e">
        <f>#N/A</f>
        <v>#N/A</v>
      </c>
      <c r="H33" s="78"/>
    </row>
    <row r="34" spans="1:8" ht="15.75">
      <c r="A34" s="74" t="s">
        <v>429</v>
      </c>
      <c r="B34" s="75" t="s">
        <v>158</v>
      </c>
      <c r="C34" s="84">
        <v>0</v>
      </c>
      <c r="D34" s="76">
        <v>0</v>
      </c>
      <c r="E34" s="76">
        <v>0.23245779800536015</v>
      </c>
      <c r="F34" s="76">
        <v>0.5601043536139778</v>
      </c>
      <c r="G34" s="77" t="e">
        <f>#N/A</f>
        <v>#N/A</v>
      </c>
      <c r="H34" s="73"/>
    </row>
    <row r="35" spans="1:7" ht="15.75">
      <c r="A35" s="79"/>
      <c r="B35" s="80" t="s">
        <v>391</v>
      </c>
      <c r="C35" s="87"/>
      <c r="D35" s="88"/>
      <c r="E35" s="88"/>
      <c r="F35" s="88"/>
      <c r="G35" s="77" t="e">
        <f>#N/A</f>
        <v>#N/A</v>
      </c>
    </row>
    <row r="36" spans="1:7" ht="15.75">
      <c r="A36" s="79" t="s">
        <v>223</v>
      </c>
      <c r="B36" s="80" t="s">
        <v>159</v>
      </c>
      <c r="C36" s="87">
        <v>0</v>
      </c>
      <c r="D36" s="93">
        <v>0</v>
      </c>
      <c r="E36" s="93">
        <v>0</v>
      </c>
      <c r="F36" s="93">
        <v>0</v>
      </c>
      <c r="G36" s="77" t="e">
        <f>#N/A</f>
        <v>#N/A</v>
      </c>
    </row>
    <row r="37" spans="1:7" ht="15.75">
      <c r="A37" s="101" t="s">
        <v>258</v>
      </c>
      <c r="B37" s="80" t="s">
        <v>160</v>
      </c>
      <c r="C37" s="87">
        <v>0</v>
      </c>
      <c r="D37" s="102">
        <v>0</v>
      </c>
      <c r="E37" s="102">
        <v>0</v>
      </c>
      <c r="F37" s="103">
        <v>0</v>
      </c>
      <c r="G37" s="77" t="e">
        <f>#N/A</f>
        <v>#N/A</v>
      </c>
    </row>
    <row r="38" spans="1:7" ht="15.75">
      <c r="A38" s="79" t="s">
        <v>329</v>
      </c>
      <c r="B38" s="80" t="s">
        <v>161</v>
      </c>
      <c r="C38" s="87">
        <v>0</v>
      </c>
      <c r="D38" s="102">
        <v>0</v>
      </c>
      <c r="E38" s="102">
        <v>0.23245779800536015</v>
      </c>
      <c r="F38" s="102">
        <v>0.5601043536139778</v>
      </c>
      <c r="G38" s="77" t="e">
        <f>#N/A</f>
        <v>#N/A</v>
      </c>
    </row>
    <row r="39" spans="1:7" ht="16.5" thickBot="1">
      <c r="A39" s="94" t="s">
        <v>402</v>
      </c>
      <c r="B39" s="80" t="s">
        <v>162</v>
      </c>
      <c r="C39" s="87">
        <v>0</v>
      </c>
      <c r="D39" s="76">
        <v>0</v>
      </c>
      <c r="E39" s="76">
        <v>0</v>
      </c>
      <c r="F39" s="76">
        <v>0</v>
      </c>
      <c r="G39" s="77" t="e">
        <f>#N/A</f>
        <v>#N/A</v>
      </c>
    </row>
    <row r="40" spans="1:7" ht="15.75">
      <c r="A40" s="74" t="s">
        <v>430</v>
      </c>
      <c r="B40" s="75" t="s">
        <v>431</v>
      </c>
      <c r="C40" s="84">
        <v>43.176324883527315</v>
      </c>
      <c r="D40" s="104">
        <v>24.924869178344437</v>
      </c>
      <c r="E40" s="76">
        <v>20.955812869012362</v>
      </c>
      <c r="F40" s="76">
        <v>49.26476524183374</v>
      </c>
      <c r="G40" s="77" t="e">
        <f>#N/A</f>
        <v>#N/A</v>
      </c>
    </row>
    <row r="41" spans="1:7" s="107" customFormat="1" ht="15.75">
      <c r="A41" s="79" t="s">
        <v>223</v>
      </c>
      <c r="B41" s="105" t="s">
        <v>432</v>
      </c>
      <c r="C41" s="106">
        <v>43.176324883527315</v>
      </c>
      <c r="D41" s="88">
        <v>0</v>
      </c>
      <c r="E41" s="98">
        <v>20.955812869012362</v>
      </c>
      <c r="F41" s="98">
        <v>49.26476524183374</v>
      </c>
      <c r="G41" s="77" t="e">
        <f>#N/A</f>
        <v>#N/A</v>
      </c>
    </row>
    <row r="42" spans="1:7" s="107" customFormat="1" ht="15.75">
      <c r="A42" s="79" t="s">
        <v>258</v>
      </c>
      <c r="B42" s="80" t="s">
        <v>433</v>
      </c>
      <c r="C42" s="87">
        <v>0</v>
      </c>
      <c r="D42" s="108">
        <v>24.924869178344437</v>
      </c>
      <c r="E42" s="88">
        <v>0</v>
      </c>
      <c r="F42" s="88">
        <v>0</v>
      </c>
      <c r="G42" s="77" t="e">
        <f>#N/A</f>
        <v>#N/A</v>
      </c>
    </row>
    <row r="43" spans="1:7" s="107" customFormat="1" ht="16.5" thickBot="1">
      <c r="A43" s="94"/>
      <c r="B43" s="80" t="s">
        <v>434</v>
      </c>
      <c r="C43" s="87" t="s">
        <v>435</v>
      </c>
      <c r="D43" s="109" t="s">
        <v>436</v>
      </c>
      <c r="E43" s="109" t="s">
        <v>435</v>
      </c>
      <c r="F43" s="109" t="s">
        <v>435</v>
      </c>
      <c r="G43" s="77" t="e">
        <f>#N/A</f>
        <v>#N/A</v>
      </c>
    </row>
    <row r="44" spans="1:7" ht="15.75">
      <c r="A44" s="74" t="s">
        <v>437</v>
      </c>
      <c r="B44" s="75" t="s">
        <v>438</v>
      </c>
      <c r="C44" s="84">
        <v>203.16637649711416</v>
      </c>
      <c r="D44" s="76">
        <v>120.19931504986602</v>
      </c>
      <c r="E44" s="76">
        <v>105.97725115965055</v>
      </c>
      <c r="F44" s="76">
        <v>82.92307999999997</v>
      </c>
      <c r="G44" s="77" t="e">
        <f>#N/A</f>
        <v>#N/A</v>
      </c>
    </row>
    <row r="45" spans="1:7" s="107" customFormat="1" ht="15.75">
      <c r="A45" s="79" t="s">
        <v>223</v>
      </c>
      <c r="B45" s="105" t="s">
        <v>439</v>
      </c>
      <c r="C45" s="106">
        <v>203.16637649711416</v>
      </c>
      <c r="D45" s="88">
        <v>0</v>
      </c>
      <c r="E45" s="98">
        <v>0</v>
      </c>
      <c r="F45" s="98">
        <v>0</v>
      </c>
      <c r="G45" s="77" t="e">
        <f>#N/A</f>
        <v>#N/A</v>
      </c>
    </row>
    <row r="46" spans="1:7" s="107" customFormat="1" ht="15.75">
      <c r="A46" s="79" t="s">
        <v>258</v>
      </c>
      <c r="B46" s="80" t="s">
        <v>440</v>
      </c>
      <c r="C46" s="87">
        <v>0</v>
      </c>
      <c r="D46" s="110">
        <v>120.19931504986602</v>
      </c>
      <c r="E46" s="110">
        <v>105.97725115965055</v>
      </c>
      <c r="F46" s="88">
        <v>82.92307999999997</v>
      </c>
      <c r="G46" s="77" t="e">
        <f>#N/A</f>
        <v>#N/A</v>
      </c>
    </row>
    <row r="47" spans="1:7" s="107" customFormat="1" ht="16.5" thickBot="1">
      <c r="A47" s="94"/>
      <c r="B47" s="80" t="s">
        <v>434</v>
      </c>
      <c r="C47" s="87" t="s">
        <v>435</v>
      </c>
      <c r="D47" s="109" t="s">
        <v>436</v>
      </c>
      <c r="E47" s="111" t="s">
        <v>436</v>
      </c>
      <c r="F47" s="109" t="s">
        <v>436</v>
      </c>
      <c r="G47" s="77" t="e">
        <f>#N/A</f>
        <v>#N/A</v>
      </c>
    </row>
    <row r="48" spans="1:7" ht="15.75">
      <c r="A48" s="74" t="s">
        <v>441</v>
      </c>
      <c r="B48" s="75" t="s">
        <v>442</v>
      </c>
      <c r="C48" s="84">
        <v>62</v>
      </c>
      <c r="D48" s="76">
        <v>0</v>
      </c>
      <c r="E48" s="76">
        <v>0</v>
      </c>
      <c r="F48" s="76">
        <v>0</v>
      </c>
      <c r="G48" s="77" t="e">
        <f>#N/A</f>
        <v>#N/A</v>
      </c>
    </row>
    <row r="49" spans="1:7" ht="15.75">
      <c r="A49" s="85"/>
      <c r="B49" s="80" t="s">
        <v>443</v>
      </c>
      <c r="C49" s="87"/>
      <c r="D49" s="88"/>
      <c r="E49" s="88"/>
      <c r="F49" s="88"/>
      <c r="G49" s="77" t="e">
        <f>#N/A</f>
        <v>#N/A</v>
      </c>
    </row>
    <row r="50" spans="1:7" ht="15.75">
      <c r="A50" s="79" t="s">
        <v>223</v>
      </c>
      <c r="B50" s="80" t="s">
        <v>444</v>
      </c>
      <c r="C50" s="87">
        <v>62</v>
      </c>
      <c r="D50" s="93">
        <v>0</v>
      </c>
      <c r="E50" s="93">
        <v>0</v>
      </c>
      <c r="F50" s="93">
        <v>0</v>
      </c>
      <c r="G50" s="77" t="e">
        <f>#N/A</f>
        <v>#N/A</v>
      </c>
    </row>
    <row r="51" spans="1:7" ht="15.75">
      <c r="A51" s="79" t="s">
        <v>392</v>
      </c>
      <c r="B51" s="80" t="s">
        <v>445</v>
      </c>
      <c r="C51" s="87"/>
      <c r="D51" s="112"/>
      <c r="E51" s="112"/>
      <c r="F51" s="112"/>
      <c r="G51" s="77" t="e">
        <f>#N/A</f>
        <v>#N/A</v>
      </c>
    </row>
    <row r="52" spans="1:7" ht="16.5" thickBot="1">
      <c r="A52" s="79" t="s">
        <v>258</v>
      </c>
      <c r="B52" s="80" t="s">
        <v>446</v>
      </c>
      <c r="C52" s="87">
        <v>0</v>
      </c>
      <c r="D52" s="109">
        <v>0</v>
      </c>
      <c r="E52" s="109">
        <v>0</v>
      </c>
      <c r="F52" s="109">
        <v>0</v>
      </c>
      <c r="G52" s="77" t="e">
        <f>#N/A</f>
        <v>#N/A</v>
      </c>
    </row>
    <row r="53" spans="1:7" ht="15.75">
      <c r="A53" s="74" t="s">
        <v>447</v>
      </c>
      <c r="B53" s="75" t="s">
        <v>448</v>
      </c>
      <c r="C53" s="84">
        <v>90</v>
      </c>
      <c r="D53" s="91">
        <v>23</v>
      </c>
      <c r="E53" s="91">
        <v>55</v>
      </c>
      <c r="F53" s="91">
        <v>119</v>
      </c>
      <c r="G53" s="77" t="e">
        <f>#N/A</f>
        <v>#N/A</v>
      </c>
    </row>
    <row r="54" spans="1:7" ht="15.75">
      <c r="A54" s="85"/>
      <c r="B54" s="80" t="s">
        <v>449</v>
      </c>
      <c r="C54" s="87"/>
      <c r="D54" s="88"/>
      <c r="E54" s="88"/>
      <c r="F54" s="88"/>
      <c r="G54" s="77" t="e">
        <f>#N/A</f>
        <v>#N/A</v>
      </c>
    </row>
    <row r="55" spans="1:7" ht="15.75">
      <c r="A55" s="79" t="s">
        <v>223</v>
      </c>
      <c r="B55" s="80" t="s">
        <v>450</v>
      </c>
      <c r="C55" s="87">
        <v>90</v>
      </c>
      <c r="D55" s="112">
        <v>23</v>
      </c>
      <c r="E55" s="112">
        <v>55</v>
      </c>
      <c r="F55" s="112">
        <v>119</v>
      </c>
      <c r="G55" s="77" t="e">
        <f>#N/A</f>
        <v>#N/A</v>
      </c>
    </row>
    <row r="56" spans="1:7" ht="15.75">
      <c r="A56" s="79" t="s">
        <v>392</v>
      </c>
      <c r="B56" s="80" t="s">
        <v>445</v>
      </c>
      <c r="C56" s="87"/>
      <c r="D56" s="112"/>
      <c r="E56" s="112"/>
      <c r="F56" s="112"/>
      <c r="G56" s="77" t="e">
        <f>#N/A</f>
        <v>#N/A</v>
      </c>
    </row>
    <row r="57" spans="1:7" ht="15.75">
      <c r="A57" s="79" t="s">
        <v>258</v>
      </c>
      <c r="B57" s="80" t="s">
        <v>446</v>
      </c>
      <c r="C57" s="87">
        <v>0</v>
      </c>
      <c r="D57" s="88">
        <v>0</v>
      </c>
      <c r="E57" s="88">
        <v>0</v>
      </c>
      <c r="F57" s="88">
        <v>0</v>
      </c>
      <c r="G57" s="77" t="e">
        <f>#N/A</f>
        <v>#N/A</v>
      </c>
    </row>
    <row r="58" spans="1:7" ht="16.5" thickBot="1">
      <c r="A58" s="113" t="s">
        <v>451</v>
      </c>
      <c r="B58" s="75" t="s">
        <v>452</v>
      </c>
      <c r="C58" s="84">
        <v>38.63546209220337</v>
      </c>
      <c r="D58" s="88">
        <v>43.95661016949151</v>
      </c>
      <c r="E58" s="88">
        <v>36.502779661016945</v>
      </c>
      <c r="F58" s="88">
        <v>21.212847457627106</v>
      </c>
      <c r="G58" s="77" t="e">
        <f>#N/A</f>
        <v>#N/A</v>
      </c>
    </row>
    <row r="59" spans="1:7" ht="15.75">
      <c r="A59" s="74" t="s">
        <v>453</v>
      </c>
      <c r="B59" s="75" t="s">
        <v>454</v>
      </c>
      <c r="C59" s="84">
        <v>152.9723208</v>
      </c>
      <c r="D59" s="112">
        <v>0</v>
      </c>
      <c r="E59" s="112">
        <v>0</v>
      </c>
      <c r="F59" s="112">
        <v>0</v>
      </c>
      <c r="G59" s="77" t="e">
        <f>#N/A</f>
        <v>#N/A</v>
      </c>
    </row>
    <row r="60" spans="1:7" ht="15.75">
      <c r="A60" s="79" t="s">
        <v>223</v>
      </c>
      <c r="B60" s="80" t="s">
        <v>455</v>
      </c>
      <c r="C60" s="87">
        <v>0</v>
      </c>
      <c r="D60" s="88">
        <v>0</v>
      </c>
      <c r="E60" s="88">
        <v>0</v>
      </c>
      <c r="F60" s="88">
        <v>0</v>
      </c>
      <c r="G60" s="77" t="e">
        <f>#N/A</f>
        <v>#N/A</v>
      </c>
    </row>
    <row r="61" spans="1:7" ht="16.5" thickBot="1">
      <c r="A61" s="94" t="s">
        <v>258</v>
      </c>
      <c r="B61" s="80" t="s">
        <v>456</v>
      </c>
      <c r="C61" s="87">
        <v>152.9723208</v>
      </c>
      <c r="D61" s="88">
        <v>0</v>
      </c>
      <c r="E61" s="88">
        <v>0</v>
      </c>
      <c r="F61" s="88">
        <v>0</v>
      </c>
      <c r="G61" s="77" t="e">
        <f>#N/A</f>
        <v>#N/A</v>
      </c>
    </row>
    <row r="62" spans="1:7" ht="16.5" thickBot="1">
      <c r="A62" s="100" t="s">
        <v>457</v>
      </c>
      <c r="B62" s="75" t="s">
        <v>458</v>
      </c>
      <c r="C62" s="84">
        <v>0</v>
      </c>
      <c r="D62" s="93">
        <v>0</v>
      </c>
      <c r="E62" s="93">
        <v>0</v>
      </c>
      <c r="F62" s="93">
        <v>0</v>
      </c>
      <c r="G62" s="77" t="e">
        <f>#N/A</f>
        <v>#N/A</v>
      </c>
    </row>
    <row r="63" spans="1:7" ht="15.75">
      <c r="A63" s="83" t="s">
        <v>459</v>
      </c>
      <c r="B63" s="75" t="s">
        <v>460</v>
      </c>
      <c r="C63" s="84">
        <v>253.27691816</v>
      </c>
      <c r="D63" s="76">
        <v>288.16</v>
      </c>
      <c r="E63" s="76">
        <v>239.296</v>
      </c>
      <c r="F63" s="76">
        <v>139.06199999999998</v>
      </c>
      <c r="G63" s="77" t="e">
        <f>#N/A</f>
        <v>#N/A</v>
      </c>
    </row>
    <row r="64" spans="1:7" ht="16.5" thickBot="1">
      <c r="A64" s="114"/>
      <c r="B64" s="80" t="s">
        <v>445</v>
      </c>
      <c r="C64" s="87"/>
      <c r="D64" s="112"/>
      <c r="E64" s="112"/>
      <c r="F64" s="112"/>
      <c r="G64" s="77" t="e">
        <f>#N/A</f>
        <v>#N/A</v>
      </c>
    </row>
    <row r="65" spans="1:7" ht="32.25" thickBot="1">
      <c r="A65" s="100" t="s">
        <v>459</v>
      </c>
      <c r="B65" s="75" t="s">
        <v>461</v>
      </c>
      <c r="C65" s="84">
        <v>2475.4546985041843</v>
      </c>
      <c r="D65" s="88">
        <v>2107.535993812503</v>
      </c>
      <c r="E65" s="88">
        <v>2137.0782566322296</v>
      </c>
      <c r="F65" s="88">
        <v>2216.018537588285</v>
      </c>
      <c r="G65" s="77" t="e">
        <f>#N/A</f>
        <v>#N/A</v>
      </c>
    </row>
    <row r="66" spans="1:7" ht="47.25">
      <c r="A66" s="74" t="s">
        <v>462</v>
      </c>
      <c r="B66" s="75" t="s">
        <v>463</v>
      </c>
      <c r="C66" s="84">
        <v>2270.1496867404785</v>
      </c>
      <c r="D66" s="88">
        <v>2246.858664417317</v>
      </c>
      <c r="E66" s="88">
        <v>2266.136442051959</v>
      </c>
      <c r="F66" s="88">
        <v>2294.407287126629</v>
      </c>
      <c r="G66" s="77" t="e">
        <f>#N/A</f>
        <v>#N/A</v>
      </c>
    </row>
    <row r="67" spans="1:7" ht="32.25" thickBot="1">
      <c r="A67" s="115"/>
      <c r="B67" s="75" t="s">
        <v>464</v>
      </c>
      <c r="C67" s="84">
        <v>205.3050117637058</v>
      </c>
      <c r="D67" s="76">
        <v>-139.322670604814</v>
      </c>
      <c r="E67" s="76">
        <v>-129.0581854197294</v>
      </c>
      <c r="F67" s="76">
        <v>-78.38874953834375</v>
      </c>
      <c r="G67" s="77" t="e">
        <f>#N/A</f>
        <v>#N/A</v>
      </c>
    </row>
    <row r="68" spans="1:7" ht="15.75">
      <c r="A68" s="116"/>
      <c r="B68" s="75" t="s">
        <v>151</v>
      </c>
      <c r="C68" s="84"/>
      <c r="D68" s="88"/>
      <c r="E68" s="88"/>
      <c r="F68" s="88"/>
      <c r="G68" s="77"/>
    </row>
    <row r="69" spans="1:7" ht="15.75">
      <c r="A69" s="79" t="s">
        <v>223</v>
      </c>
      <c r="B69" s="80" t="s">
        <v>152</v>
      </c>
      <c r="C69" s="87">
        <v>181.36294324646462</v>
      </c>
      <c r="D69" s="109">
        <v>260.12147852067005</v>
      </c>
      <c r="E69" s="109">
        <v>298.5733583868472</v>
      </c>
      <c r="F69" s="109">
        <v>333.1648962890168</v>
      </c>
      <c r="G69" s="77" t="e">
        <f>#N/A</f>
        <v>#N/A</v>
      </c>
    </row>
    <row r="70" spans="1:8" ht="15.75">
      <c r="A70" s="79" t="s">
        <v>258</v>
      </c>
      <c r="B70" s="117" t="s">
        <v>465</v>
      </c>
      <c r="C70" s="87">
        <v>197</v>
      </c>
      <c r="D70" s="118">
        <v>174</v>
      </c>
      <c r="E70" s="118">
        <v>119</v>
      </c>
      <c r="F70" s="118">
        <v>0</v>
      </c>
      <c r="G70" s="77" t="e">
        <f>#N/A</f>
        <v>#N/A</v>
      </c>
      <c r="H70" s="65" t="s">
        <v>466</v>
      </c>
    </row>
    <row r="71" spans="1:7" ht="15.75">
      <c r="A71" s="79" t="s">
        <v>329</v>
      </c>
      <c r="B71" s="80" t="s">
        <v>467</v>
      </c>
      <c r="C71" s="87">
        <v>4.244396755770216</v>
      </c>
      <c r="D71" s="118">
        <v>4.575422359320222</v>
      </c>
      <c r="E71" s="118">
        <v>4.776599085391026</v>
      </c>
      <c r="F71" s="118">
        <v>4.970226356368925</v>
      </c>
      <c r="G71" s="77">
        <f>SUM(C71:F71)</f>
        <v>18.56664455685039</v>
      </c>
    </row>
    <row r="72" spans="1:7" ht="15">
      <c r="A72" s="455" t="s">
        <v>468</v>
      </c>
      <c r="B72" s="455"/>
      <c r="C72" s="455"/>
      <c r="D72" s="455"/>
      <c r="E72" s="455"/>
      <c r="F72" s="455"/>
      <c r="G72" s="455"/>
    </row>
    <row r="73" spans="1:7" ht="15">
      <c r="A73" s="455"/>
      <c r="B73" s="455"/>
      <c r="C73" s="455"/>
      <c r="D73" s="455"/>
      <c r="E73" s="455"/>
      <c r="F73" s="455"/>
      <c r="G73" s="455"/>
    </row>
    <row r="74" spans="1:7" ht="15.75">
      <c r="A74" s="119" t="s">
        <v>469</v>
      </c>
      <c r="B74" s="119" t="s">
        <v>344</v>
      </c>
      <c r="C74" s="119" t="s">
        <v>470</v>
      </c>
      <c r="D74" s="119" t="s">
        <v>471</v>
      </c>
      <c r="E74" s="119" t="s">
        <v>472</v>
      </c>
      <c r="F74" s="119" t="s">
        <v>473</v>
      </c>
      <c r="G74" s="119" t="s">
        <v>345</v>
      </c>
    </row>
    <row r="75" spans="1:7" ht="15.75">
      <c r="A75" s="120"/>
      <c r="B75" s="120" t="s">
        <v>346</v>
      </c>
      <c r="C75" s="121">
        <v>253.26511816</v>
      </c>
      <c r="D75" s="122">
        <v>288.16065399999997</v>
      </c>
      <c r="E75" s="122">
        <v>239.29588227000048</v>
      </c>
      <c r="F75" s="122">
        <v>139.0598888147298</v>
      </c>
      <c r="G75" s="121">
        <f>SUM(C75:F75)</f>
        <v>919.7815432447302</v>
      </c>
    </row>
    <row r="76" spans="1:7" ht="15.75">
      <c r="A76" s="123" t="s">
        <v>167</v>
      </c>
      <c r="B76" s="124" t="s">
        <v>347</v>
      </c>
      <c r="C76" s="125">
        <v>191.26511816</v>
      </c>
      <c r="D76" s="126">
        <v>288.16065399999997</v>
      </c>
      <c r="E76" s="126">
        <v>239.29588227000048</v>
      </c>
      <c r="F76" s="126">
        <v>139.0598888147298</v>
      </c>
      <c r="G76" s="121" t="e">
        <f>#N/A</f>
        <v>#N/A</v>
      </c>
    </row>
    <row r="77" spans="1:7" ht="15.75">
      <c r="A77" s="123" t="s">
        <v>164</v>
      </c>
      <c r="B77" s="124" t="s">
        <v>348</v>
      </c>
      <c r="C77" s="125">
        <v>1.69884</v>
      </c>
      <c r="D77" s="127">
        <v>0</v>
      </c>
      <c r="E77" s="127">
        <v>0</v>
      </c>
      <c r="F77" s="127">
        <v>0</v>
      </c>
      <c r="G77" s="121" t="e">
        <f>#N/A</f>
        <v>#N/A</v>
      </c>
    </row>
    <row r="78" spans="1:7" ht="31.5">
      <c r="A78" s="123" t="s">
        <v>349</v>
      </c>
      <c r="B78" s="128" t="s">
        <v>350</v>
      </c>
      <c r="C78" s="129"/>
      <c r="D78" s="127"/>
      <c r="E78" s="127"/>
      <c r="F78" s="127"/>
      <c r="G78" s="121" t="e">
        <f>#N/A</f>
        <v>#N/A</v>
      </c>
    </row>
    <row r="79" spans="1:7" ht="15.75">
      <c r="A79" s="123" t="s">
        <v>351</v>
      </c>
      <c r="B79" s="124" t="s">
        <v>352</v>
      </c>
      <c r="C79" s="125"/>
      <c r="D79" s="127">
        <v>0</v>
      </c>
      <c r="E79" s="127">
        <v>0</v>
      </c>
      <c r="F79" s="127">
        <v>0</v>
      </c>
      <c r="G79" s="121" t="e">
        <f>#N/A</f>
        <v>#N/A</v>
      </c>
    </row>
    <row r="80" spans="1:7" ht="15.75">
      <c r="A80" s="123" t="s">
        <v>353</v>
      </c>
      <c r="B80" s="128" t="s">
        <v>354</v>
      </c>
      <c r="C80" s="129">
        <v>1.69884</v>
      </c>
      <c r="D80" s="127">
        <v>0</v>
      </c>
      <c r="E80" s="127">
        <v>0</v>
      </c>
      <c r="F80" s="127">
        <v>0</v>
      </c>
      <c r="G80" s="121" t="e">
        <f>#N/A</f>
        <v>#N/A</v>
      </c>
    </row>
    <row r="81" spans="1:7" ht="15.75">
      <c r="A81" s="123" t="s">
        <v>355</v>
      </c>
      <c r="B81" s="124" t="s">
        <v>356</v>
      </c>
      <c r="C81" s="125"/>
      <c r="D81" s="127">
        <v>0</v>
      </c>
      <c r="E81" s="127">
        <v>0</v>
      </c>
      <c r="F81" s="127">
        <v>0</v>
      </c>
      <c r="G81" s="121" t="e">
        <f>#N/A</f>
        <v>#N/A</v>
      </c>
    </row>
    <row r="82" spans="1:7" ht="15.75">
      <c r="A82" s="123"/>
      <c r="B82" s="130" t="s">
        <v>357</v>
      </c>
      <c r="C82" s="131"/>
      <c r="D82" s="127">
        <v>0</v>
      </c>
      <c r="E82" s="127">
        <v>0</v>
      </c>
      <c r="F82" s="127">
        <v>0</v>
      </c>
      <c r="G82" s="121" t="e">
        <f>#N/A</f>
        <v>#N/A</v>
      </c>
    </row>
    <row r="83" spans="1:7" ht="15.75">
      <c r="A83" s="123" t="s">
        <v>358</v>
      </c>
      <c r="B83" s="124" t="s">
        <v>359</v>
      </c>
      <c r="C83" s="125">
        <v>1.69884</v>
      </c>
      <c r="D83" s="127">
        <v>0</v>
      </c>
      <c r="E83" s="127">
        <v>0</v>
      </c>
      <c r="F83" s="127">
        <v>0</v>
      </c>
      <c r="G83" s="121" t="e">
        <f>#N/A</f>
        <v>#N/A</v>
      </c>
    </row>
    <row r="84" spans="1:7" ht="15.75">
      <c r="A84" s="123"/>
      <c r="B84" s="130" t="s">
        <v>357</v>
      </c>
      <c r="C84" s="132"/>
      <c r="D84" s="127">
        <v>0</v>
      </c>
      <c r="E84" s="127">
        <v>0</v>
      </c>
      <c r="F84" s="127">
        <v>0</v>
      </c>
      <c r="G84" s="121" t="e">
        <f>#N/A</f>
        <v>#N/A</v>
      </c>
    </row>
    <row r="85" spans="1:7" ht="15.75">
      <c r="A85" s="123" t="s">
        <v>360</v>
      </c>
      <c r="B85" s="124" t="s">
        <v>361</v>
      </c>
      <c r="C85" s="125"/>
      <c r="D85" s="127">
        <v>0</v>
      </c>
      <c r="E85" s="127">
        <v>0</v>
      </c>
      <c r="F85" s="127">
        <v>0</v>
      </c>
      <c r="G85" s="121" t="e">
        <f>#N/A</f>
        <v>#N/A</v>
      </c>
    </row>
    <row r="86" spans="1:7" ht="15.75">
      <c r="A86" s="123" t="s">
        <v>165</v>
      </c>
      <c r="B86" s="124" t="s">
        <v>362</v>
      </c>
      <c r="C86" s="131">
        <v>146.50517983050847</v>
      </c>
      <c r="D86" s="127">
        <v>210.55183895000002</v>
      </c>
      <c r="E86" s="127">
        <v>202.79312056779702</v>
      </c>
      <c r="F86" s="127">
        <v>117.84736340231338</v>
      </c>
      <c r="G86" s="121" t="e">
        <f>#N/A</f>
        <v>#N/A</v>
      </c>
    </row>
    <row r="87" spans="1:7" ht="31.5">
      <c r="A87" s="123" t="s">
        <v>363</v>
      </c>
      <c r="B87" s="128" t="s">
        <v>474</v>
      </c>
      <c r="C87" s="129"/>
      <c r="D87" s="127">
        <v>0</v>
      </c>
      <c r="E87" s="127">
        <v>0</v>
      </c>
      <c r="F87" s="127">
        <v>0</v>
      </c>
      <c r="G87" s="121" t="e">
        <f>#N/A</f>
        <v>#N/A</v>
      </c>
    </row>
    <row r="88" spans="1:7" ht="15.75">
      <c r="A88" s="123" t="s">
        <v>364</v>
      </c>
      <c r="B88" s="124" t="s">
        <v>365</v>
      </c>
      <c r="C88" s="125">
        <v>146.50517983050847</v>
      </c>
      <c r="D88" s="127">
        <v>210.55183895000002</v>
      </c>
      <c r="E88" s="127">
        <v>202.79312056779702</v>
      </c>
      <c r="F88" s="127">
        <v>117.84736340231338</v>
      </c>
      <c r="G88" s="121" t="e">
        <f>#N/A</f>
        <v>#N/A</v>
      </c>
    </row>
    <row r="89" spans="1:7" ht="15.75">
      <c r="A89" s="123" t="s">
        <v>366</v>
      </c>
      <c r="B89" s="124" t="s">
        <v>367</v>
      </c>
      <c r="C89" s="132"/>
      <c r="D89" s="127">
        <v>0</v>
      </c>
      <c r="E89" s="127">
        <v>0</v>
      </c>
      <c r="F89" s="127">
        <v>0</v>
      </c>
      <c r="G89" s="121" t="e">
        <f>#N/A</f>
        <v>#N/A</v>
      </c>
    </row>
    <row r="90" spans="1:7" ht="15.75">
      <c r="A90" s="123" t="s">
        <v>168</v>
      </c>
      <c r="B90" s="124" t="s">
        <v>368</v>
      </c>
      <c r="C90" s="125">
        <v>29.17603497355932</v>
      </c>
      <c r="D90" s="126">
        <v>43.95670993220339</v>
      </c>
      <c r="E90" s="126">
        <v>36.502761702203465</v>
      </c>
      <c r="F90" s="126">
        <v>21.212525412416408</v>
      </c>
      <c r="G90" s="121" t="e">
        <f>#N/A</f>
        <v>#N/A</v>
      </c>
    </row>
    <row r="91" spans="1:7" ht="15.75">
      <c r="A91" s="123" t="s">
        <v>186</v>
      </c>
      <c r="B91" s="124" t="s">
        <v>475</v>
      </c>
      <c r="C91" s="125">
        <v>13.8850633559322</v>
      </c>
      <c r="D91" s="126">
        <v>33.65210511779658</v>
      </c>
      <c r="E91" s="126">
        <v>0</v>
      </c>
      <c r="F91" s="126">
        <v>0</v>
      </c>
      <c r="G91" s="121" t="e">
        <f>#N/A</f>
        <v>#N/A</v>
      </c>
    </row>
    <row r="92" spans="1:7" ht="15.75">
      <c r="A92" s="123" t="s">
        <v>221</v>
      </c>
      <c r="B92" s="124" t="s">
        <v>369</v>
      </c>
      <c r="C92" s="125"/>
      <c r="D92" s="126">
        <v>0</v>
      </c>
      <c r="E92" s="126">
        <v>0</v>
      </c>
      <c r="F92" s="126">
        <v>0</v>
      </c>
      <c r="G92" s="121" t="e">
        <f>#N/A</f>
        <v>#N/A</v>
      </c>
    </row>
    <row r="93" spans="1:7" ht="15.75">
      <c r="A93" s="123" t="s">
        <v>222</v>
      </c>
      <c r="B93" s="124" t="s">
        <v>370</v>
      </c>
      <c r="C93" s="125"/>
      <c r="D93" s="127">
        <v>0</v>
      </c>
      <c r="E93" s="127">
        <v>0</v>
      </c>
      <c r="F93" s="127">
        <v>0</v>
      </c>
      <c r="G93" s="121" t="e">
        <f>#N/A</f>
        <v>#N/A</v>
      </c>
    </row>
    <row r="94" spans="1:7" ht="15.75">
      <c r="A94" s="123" t="s">
        <v>169</v>
      </c>
      <c r="B94" s="124" t="s">
        <v>371</v>
      </c>
      <c r="C94" s="124">
        <v>62</v>
      </c>
      <c r="D94" s="127">
        <v>0</v>
      </c>
      <c r="E94" s="127">
        <v>0</v>
      </c>
      <c r="F94" s="127">
        <v>0</v>
      </c>
      <c r="G94" s="121" t="e">
        <f>#N/A</f>
        <v>#N/A</v>
      </c>
    </row>
    <row r="95" spans="1:7" ht="15.75">
      <c r="A95" s="123" t="s">
        <v>170</v>
      </c>
      <c r="B95" s="124" t="s">
        <v>372</v>
      </c>
      <c r="C95" s="124">
        <v>62</v>
      </c>
      <c r="D95" s="127"/>
      <c r="E95" s="127">
        <v>0</v>
      </c>
      <c r="F95" s="127">
        <v>0</v>
      </c>
      <c r="G95" s="121" t="e">
        <f>#N/A</f>
        <v>#N/A</v>
      </c>
    </row>
    <row r="96" spans="1:7" ht="15.75">
      <c r="A96" s="123" t="s">
        <v>171</v>
      </c>
      <c r="B96" s="124" t="s">
        <v>373</v>
      </c>
      <c r="C96" s="124"/>
      <c r="D96" s="133">
        <v>0</v>
      </c>
      <c r="E96" s="133">
        <v>0</v>
      </c>
      <c r="F96" s="133">
        <v>0</v>
      </c>
      <c r="G96" s="121" t="e">
        <f>#N/A</f>
        <v>#N/A</v>
      </c>
    </row>
    <row r="97" spans="1:7" ht="15.75">
      <c r="A97" s="123" t="s">
        <v>177</v>
      </c>
      <c r="B97" s="124" t="s">
        <v>374</v>
      </c>
      <c r="C97" s="124"/>
      <c r="D97" s="133">
        <v>0</v>
      </c>
      <c r="E97" s="133">
        <v>0</v>
      </c>
      <c r="F97" s="133">
        <v>0</v>
      </c>
      <c r="G97" s="121" t="e">
        <f>#N/A</f>
        <v>#N/A</v>
      </c>
    </row>
    <row r="98" spans="1:7" ht="15.75">
      <c r="A98" s="123" t="s">
        <v>187</v>
      </c>
      <c r="B98" s="124" t="s">
        <v>375</v>
      </c>
      <c r="C98" s="124"/>
      <c r="D98" s="133">
        <v>0</v>
      </c>
      <c r="E98" s="133">
        <v>0</v>
      </c>
      <c r="F98" s="133">
        <v>0</v>
      </c>
      <c r="G98" s="121" t="e">
        <f>#N/A</f>
        <v>#N/A</v>
      </c>
    </row>
    <row r="99" spans="1:7" ht="15.75">
      <c r="A99" s="123"/>
      <c r="B99" s="124" t="s">
        <v>376</v>
      </c>
      <c r="C99" s="124"/>
      <c r="D99" s="133">
        <v>0</v>
      </c>
      <c r="E99" s="133">
        <v>0</v>
      </c>
      <c r="F99" s="133">
        <v>0</v>
      </c>
      <c r="G99" s="121" t="e">
        <f>#N/A</f>
        <v>#N/A</v>
      </c>
    </row>
    <row r="100" spans="1:7" ht="15.75">
      <c r="A100" s="123"/>
      <c r="B100" s="128" t="s">
        <v>377</v>
      </c>
      <c r="C100" s="128"/>
      <c r="D100" s="133">
        <v>0</v>
      </c>
      <c r="E100" s="133">
        <v>0</v>
      </c>
      <c r="F100" s="133">
        <v>0</v>
      </c>
      <c r="G100" s="121" t="e">
        <f>#N/A</f>
        <v>#N/A</v>
      </c>
    </row>
    <row r="101" spans="1:7" ht="15.75">
      <c r="A101" s="123"/>
      <c r="B101" s="128" t="s">
        <v>378</v>
      </c>
      <c r="C101" s="128"/>
      <c r="D101" s="133">
        <v>0</v>
      </c>
      <c r="E101" s="133">
        <v>0</v>
      </c>
      <c r="F101" s="133">
        <v>0</v>
      </c>
      <c r="G101" s="121" t="e">
        <f>#N/A</f>
        <v>#N/A</v>
      </c>
    </row>
    <row r="102" spans="1:7" ht="31.5">
      <c r="A102" s="123"/>
      <c r="B102" s="128" t="s">
        <v>379</v>
      </c>
      <c r="C102" s="128"/>
      <c r="D102" s="133">
        <v>0</v>
      </c>
      <c r="E102" s="133">
        <v>0</v>
      </c>
      <c r="F102" s="133">
        <v>0</v>
      </c>
      <c r="G102" s="121" t="e">
        <f>#N/A</f>
        <v>#N/A</v>
      </c>
    </row>
    <row r="103" spans="1:7" ht="15.75">
      <c r="A103" s="123" t="s">
        <v>188</v>
      </c>
      <c r="B103" s="124" t="s">
        <v>380</v>
      </c>
      <c r="C103" s="124"/>
      <c r="D103" s="133">
        <v>0</v>
      </c>
      <c r="E103" s="133">
        <v>0</v>
      </c>
      <c r="F103" s="133">
        <v>0</v>
      </c>
      <c r="G103" s="121" t="e">
        <f>#N/A</f>
        <v>#N/A</v>
      </c>
    </row>
    <row r="104" spans="1:7" ht="15.75">
      <c r="A104" s="123" t="s">
        <v>189</v>
      </c>
      <c r="B104" s="124" t="s">
        <v>381</v>
      </c>
      <c r="C104" s="124"/>
      <c r="D104" s="133">
        <v>0</v>
      </c>
      <c r="E104" s="133">
        <v>0</v>
      </c>
      <c r="F104" s="133">
        <v>0</v>
      </c>
      <c r="G104" s="121" t="e">
        <f>#N/A</f>
        <v>#N/A</v>
      </c>
    </row>
    <row r="105" spans="1:7" ht="15.75">
      <c r="A105" s="123" t="s">
        <v>190</v>
      </c>
      <c r="B105" s="124" t="s">
        <v>382</v>
      </c>
      <c r="C105" s="124"/>
      <c r="D105" s="133">
        <v>0</v>
      </c>
      <c r="E105" s="133">
        <v>0</v>
      </c>
      <c r="F105" s="133">
        <v>0</v>
      </c>
      <c r="G105" s="121" t="e">
        <f>#N/A</f>
        <v>#N/A</v>
      </c>
    </row>
    <row r="106" spans="1:7" ht="31.5">
      <c r="A106" s="134"/>
      <c r="B106" s="135" t="s">
        <v>476</v>
      </c>
      <c r="C106" s="135"/>
      <c r="D106" s="136">
        <v>0</v>
      </c>
      <c r="E106" s="136">
        <v>0</v>
      </c>
      <c r="F106" s="136">
        <v>0</v>
      </c>
      <c r="G106" s="121" t="e">
        <f>#N/A</f>
        <v>#N/A</v>
      </c>
    </row>
    <row r="107" spans="1:7" ht="15.75">
      <c r="A107" s="134"/>
      <c r="B107" s="137" t="s">
        <v>477</v>
      </c>
      <c r="C107" s="137"/>
      <c r="D107" s="133" t="s">
        <v>436</v>
      </c>
      <c r="E107" s="133" t="s">
        <v>436</v>
      </c>
      <c r="F107" s="133" t="s">
        <v>436</v>
      </c>
      <c r="G107" s="121" t="e">
        <f>#N/A</f>
        <v>#N/A</v>
      </c>
    </row>
    <row r="108" spans="1:7" ht="15.75">
      <c r="A108" s="134"/>
      <c r="B108" s="137" t="s">
        <v>478</v>
      </c>
      <c r="C108" s="137"/>
      <c r="D108" s="133" t="s">
        <v>436</v>
      </c>
      <c r="E108" s="133" t="s">
        <v>436</v>
      </c>
      <c r="F108" s="133" t="s">
        <v>436</v>
      </c>
      <c r="G108" s="121" t="e">
        <f>#N/A</f>
        <v>#N/A</v>
      </c>
    </row>
    <row r="109" spans="1:7" ht="15.75">
      <c r="A109" s="134"/>
      <c r="B109" s="137" t="s">
        <v>479</v>
      </c>
      <c r="C109" s="137"/>
      <c r="D109" s="133" t="s">
        <v>436</v>
      </c>
      <c r="E109" s="133" t="s">
        <v>436</v>
      </c>
      <c r="F109" s="133" t="s">
        <v>436</v>
      </c>
      <c r="G109" s="133" t="s">
        <v>436</v>
      </c>
    </row>
    <row r="110" spans="1:7" ht="15.75">
      <c r="A110" s="138"/>
      <c r="B110" s="139"/>
      <c r="C110" s="139"/>
      <c r="D110" s="140"/>
      <c r="E110" s="140"/>
      <c r="F110" s="140"/>
      <c r="G110" s="140"/>
    </row>
    <row r="111" spans="1:7" ht="15.75">
      <c r="A111" s="138"/>
      <c r="B111" s="139"/>
      <c r="C111" s="139"/>
      <c r="D111" s="140"/>
      <c r="E111" s="140"/>
      <c r="F111" s="140"/>
      <c r="G111" s="140"/>
    </row>
    <row r="112" spans="1:7" ht="15.75">
      <c r="A112" s="141" t="s">
        <v>480</v>
      </c>
      <c r="B112" s="142"/>
      <c r="C112" s="143"/>
      <c r="D112" s="143"/>
      <c r="E112" s="143"/>
      <c r="F112" s="143"/>
      <c r="G112" s="140"/>
    </row>
    <row r="113" spans="1:7" ht="15.75">
      <c r="A113" s="144" t="s">
        <v>481</v>
      </c>
      <c r="B113" s="145" t="s">
        <v>482</v>
      </c>
      <c r="C113" s="146"/>
      <c r="D113" s="146">
        <f>D86*0.18</f>
        <v>37.899331011</v>
      </c>
      <c r="E113" s="146">
        <f>E86*0.18</f>
        <v>36.502761702203465</v>
      </c>
      <c r="F113" s="146">
        <f>F86*0.18</f>
        <v>21.212525412416408</v>
      </c>
      <c r="G113" s="146" t="e">
        <f>G86*0.18</f>
        <v>#N/A</v>
      </c>
    </row>
    <row r="114" spans="1:7" ht="15.75">
      <c r="A114" s="144" t="s">
        <v>483</v>
      </c>
      <c r="B114" s="145" t="s">
        <v>484</v>
      </c>
      <c r="C114" s="146"/>
      <c r="D114" s="146">
        <v>0</v>
      </c>
      <c r="E114" s="146">
        <v>0</v>
      </c>
      <c r="F114" s="146">
        <v>0</v>
      </c>
      <c r="G114" s="146" t="e">
        <f>G78*0.18</f>
        <v>#N/A</v>
      </c>
    </row>
    <row r="115" spans="1:7" ht="15.75">
      <c r="A115" s="144" t="s">
        <v>485</v>
      </c>
      <c r="B115" s="145" t="s">
        <v>486</v>
      </c>
      <c r="C115" s="146"/>
      <c r="D115" s="146">
        <v>0</v>
      </c>
      <c r="E115" s="146">
        <v>0</v>
      </c>
      <c r="F115" s="146">
        <v>0</v>
      </c>
      <c r="G115" s="146">
        <v>0</v>
      </c>
    </row>
    <row r="116" spans="1:7" ht="15.75">
      <c r="A116" s="144" t="s">
        <v>487</v>
      </c>
      <c r="B116" s="145" t="s">
        <v>488</v>
      </c>
      <c r="C116" s="146"/>
      <c r="D116" s="146">
        <f>D91*0.18</f>
        <v>6.057378921203385</v>
      </c>
      <c r="E116" s="146">
        <f>E91*0.18</f>
        <v>0</v>
      </c>
      <c r="F116" s="146">
        <f>F91*0.18</f>
        <v>0</v>
      </c>
      <c r="G116" s="146" t="e">
        <f>G91*0.18</f>
        <v>#N/A</v>
      </c>
    </row>
    <row r="117" spans="1:7" ht="15.75">
      <c r="A117" s="138"/>
      <c r="B117" s="139"/>
      <c r="C117" s="139"/>
      <c r="D117" s="140"/>
      <c r="E117" s="140"/>
      <c r="F117" s="140"/>
      <c r="G117" s="140"/>
    </row>
    <row r="118" spans="1:7" ht="15.75">
      <c r="A118" s="141" t="s">
        <v>489</v>
      </c>
      <c r="B118" s="142"/>
      <c r="C118" s="143"/>
      <c r="D118" s="143"/>
      <c r="E118" s="143"/>
      <c r="F118" s="143"/>
      <c r="G118" s="140"/>
    </row>
    <row r="119" spans="1:7" ht="15.75">
      <c r="A119" s="144" t="s">
        <v>490</v>
      </c>
      <c r="B119" s="145" t="s">
        <v>491</v>
      </c>
      <c r="C119" s="146">
        <v>13.8850633559322</v>
      </c>
      <c r="D119" s="147">
        <v>24.843750203389803</v>
      </c>
      <c r="E119" s="147">
        <v>0</v>
      </c>
      <c r="F119" s="147"/>
      <c r="G119" s="147">
        <f>SUM(C119:F119)</f>
        <v>38.728813559322006</v>
      </c>
    </row>
    <row r="120" spans="1:7" ht="15.75">
      <c r="A120" s="144" t="s">
        <v>492</v>
      </c>
      <c r="B120" s="145" t="s">
        <v>493</v>
      </c>
      <c r="C120" s="146"/>
      <c r="D120" s="147">
        <v>8.808354914406781</v>
      </c>
      <c r="E120" s="147">
        <v>0</v>
      </c>
      <c r="F120" s="147"/>
      <c r="G120" s="147">
        <f>SUM(D120:F120)</f>
        <v>8.808354914406781</v>
      </c>
    </row>
    <row r="121" spans="1:7" ht="15">
      <c r="A121" s="148"/>
      <c r="B121" s="148"/>
      <c r="C121" s="148"/>
      <c r="D121" s="148"/>
      <c r="E121" s="148"/>
      <c r="F121" s="148"/>
      <c r="G121" s="148"/>
    </row>
    <row r="122" spans="1:12" ht="15.75">
      <c r="A122" s="455" t="s">
        <v>494</v>
      </c>
      <c r="B122" s="455"/>
      <c r="C122" s="455"/>
      <c r="D122" s="455"/>
      <c r="E122" s="455"/>
      <c r="F122" s="455"/>
      <c r="G122" s="455"/>
      <c r="H122" s="107"/>
      <c r="I122" s="107"/>
      <c r="J122" s="107"/>
      <c r="K122" s="107"/>
      <c r="L122" s="107"/>
    </row>
    <row r="123" spans="1:12" ht="15.75">
      <c r="A123" s="455"/>
      <c r="B123" s="455"/>
      <c r="C123" s="455"/>
      <c r="D123" s="455"/>
      <c r="E123" s="455"/>
      <c r="F123" s="455"/>
      <c r="G123" s="455"/>
      <c r="H123" s="107"/>
      <c r="I123" s="107"/>
      <c r="J123" s="107"/>
      <c r="K123" s="107"/>
      <c r="L123" s="107"/>
    </row>
    <row r="124" spans="1:7" ht="15.75">
      <c r="A124" s="124"/>
      <c r="B124" s="105"/>
      <c r="C124" s="149">
        <v>2016</v>
      </c>
      <c r="D124" s="149">
        <v>2017</v>
      </c>
      <c r="E124" s="149">
        <v>2018</v>
      </c>
      <c r="F124" s="149">
        <v>2019</v>
      </c>
      <c r="G124" s="67" t="s">
        <v>345</v>
      </c>
    </row>
    <row r="125" spans="1:7" ht="15.75">
      <c r="A125" s="124"/>
      <c r="B125" s="105" t="s">
        <v>495</v>
      </c>
      <c r="C125" s="150">
        <v>1246.9565924540814</v>
      </c>
      <c r="D125" s="150">
        <v>1333.3745107684242</v>
      </c>
      <c r="E125" s="150">
        <v>1343.8637412115788</v>
      </c>
      <c r="F125" s="150">
        <v>1397.9603197206134</v>
      </c>
      <c r="G125" s="151">
        <f>SUM(C125:F125)</f>
        <v>5322.155164154698</v>
      </c>
    </row>
    <row r="126" spans="1:7" ht="15.75">
      <c r="A126" s="124"/>
      <c r="B126" s="152" t="s">
        <v>496</v>
      </c>
      <c r="C126" s="153">
        <v>1180.9764331568813</v>
      </c>
      <c r="D126" s="153">
        <v>1260.9037833719867</v>
      </c>
      <c r="E126" s="153">
        <v>1294.3366197039372</v>
      </c>
      <c r="F126" s="153">
        <v>1345.711267273677</v>
      </c>
      <c r="G126" s="151">
        <f>SUM(C126:F126)</f>
        <v>5081.928103506482</v>
      </c>
    </row>
    <row r="127" spans="1:7" ht="15.75">
      <c r="A127" s="124"/>
      <c r="B127" s="152" t="s">
        <v>497</v>
      </c>
      <c r="C127" s="153">
        <v>65.98015929719999</v>
      </c>
      <c r="D127" s="153">
        <v>72.4707273964376</v>
      </c>
      <c r="E127" s="153">
        <v>49.52712150764165</v>
      </c>
      <c r="F127" s="153">
        <v>52.24905244693635</v>
      </c>
      <c r="G127" s="151" t="e">
        <f>#N/A</f>
        <v>#N/A</v>
      </c>
    </row>
    <row r="128" spans="1:7" ht="15.75">
      <c r="A128" s="124"/>
      <c r="B128" s="152" t="s">
        <v>498</v>
      </c>
      <c r="C128" s="153"/>
      <c r="D128" s="153"/>
      <c r="E128" s="153"/>
      <c r="F128" s="153"/>
      <c r="G128" s="151" t="e">
        <f>#N/A</f>
        <v>#N/A</v>
      </c>
    </row>
    <row r="129" spans="1:7" ht="15.75">
      <c r="A129" s="124"/>
      <c r="B129" s="152" t="s">
        <v>499</v>
      </c>
      <c r="C129" s="154"/>
      <c r="D129" s="154"/>
      <c r="E129" s="154"/>
      <c r="F129" s="155"/>
      <c r="G129" s="151" t="e">
        <f>#N/A</f>
        <v>#N/A</v>
      </c>
    </row>
    <row r="130" spans="1:7" ht="15.75">
      <c r="A130" s="124"/>
      <c r="B130" s="152" t="s">
        <v>500</v>
      </c>
      <c r="C130" s="153"/>
      <c r="D130" s="153"/>
      <c r="E130" s="153"/>
      <c r="F130" s="153"/>
      <c r="G130" s="151" t="e">
        <f>#N/A</f>
        <v>#N/A</v>
      </c>
    </row>
    <row r="131" spans="1:7" ht="15.75">
      <c r="A131" s="124"/>
      <c r="B131" s="105" t="s">
        <v>501</v>
      </c>
      <c r="C131" s="150">
        <v>1501.6874000000003</v>
      </c>
      <c r="D131" s="150">
        <v>1603.0116999999998</v>
      </c>
      <c r="E131" s="150">
        <v>1617.2438</v>
      </c>
      <c r="F131" s="150">
        <v>1657.3319999999999</v>
      </c>
      <c r="G131" s="151" t="e">
        <f>#N/A</f>
        <v>#N/A</v>
      </c>
    </row>
    <row r="132" spans="1:7" ht="15.75">
      <c r="A132" s="124"/>
      <c r="B132" s="156" t="s">
        <v>502</v>
      </c>
      <c r="C132" s="155">
        <v>1501.6874000000003</v>
      </c>
      <c r="D132" s="155">
        <v>1603.0116999999998</v>
      </c>
      <c r="E132" s="155">
        <v>1617.2438</v>
      </c>
      <c r="F132" s="155">
        <v>1657.3319999999999</v>
      </c>
      <c r="G132" s="151" t="e">
        <f>#N/A</f>
        <v>#N/A</v>
      </c>
    </row>
    <row r="133" spans="1:7" ht="15.75">
      <c r="A133" s="124"/>
      <c r="B133" s="152" t="s">
        <v>496</v>
      </c>
      <c r="C133" s="153">
        <v>1501.6874000000003</v>
      </c>
      <c r="D133" s="153">
        <v>1603.0116999999998</v>
      </c>
      <c r="E133" s="153">
        <v>1617.2438</v>
      </c>
      <c r="F133" s="153">
        <v>1657.3319999999999</v>
      </c>
      <c r="G133" s="151" t="e">
        <f>#N/A</f>
        <v>#N/A</v>
      </c>
    </row>
    <row r="134" spans="1:7" ht="15.75">
      <c r="A134" s="124"/>
      <c r="B134" s="152" t="s">
        <v>497</v>
      </c>
      <c r="C134" s="153">
        <v>0</v>
      </c>
      <c r="D134" s="153">
        <v>0</v>
      </c>
      <c r="E134" s="153">
        <v>0</v>
      </c>
      <c r="F134" s="153">
        <v>0</v>
      </c>
      <c r="G134" s="151" t="e">
        <f>#N/A</f>
        <v>#N/A</v>
      </c>
    </row>
    <row r="135" spans="1:7" ht="15.75">
      <c r="A135" s="124"/>
      <c r="B135" s="152" t="s">
        <v>498</v>
      </c>
      <c r="C135" s="153"/>
      <c r="D135" s="153"/>
      <c r="E135" s="153"/>
      <c r="F135" s="153"/>
      <c r="G135" s="151" t="e">
        <f>#N/A</f>
        <v>#N/A</v>
      </c>
    </row>
    <row r="136" spans="1:7" ht="15.75">
      <c r="A136" s="124"/>
      <c r="B136" s="152" t="s">
        <v>499</v>
      </c>
      <c r="C136" s="154"/>
      <c r="D136" s="154"/>
      <c r="E136" s="154"/>
      <c r="F136" s="155"/>
      <c r="G136" s="151" t="e">
        <f>#N/A</f>
        <v>#N/A</v>
      </c>
    </row>
    <row r="137" spans="1:7" ht="15.75">
      <c r="A137" s="124"/>
      <c r="B137" s="152" t="s">
        <v>500</v>
      </c>
      <c r="C137" s="153"/>
      <c r="D137" s="153"/>
      <c r="E137" s="153"/>
      <c r="F137" s="153"/>
      <c r="G137" s="151" t="e">
        <f>#N/A</f>
        <v>#N/A</v>
      </c>
    </row>
    <row r="138" spans="1:7" ht="15.75">
      <c r="A138" s="124"/>
      <c r="B138" s="156" t="s">
        <v>503</v>
      </c>
      <c r="C138" s="155">
        <v>0</v>
      </c>
      <c r="D138" s="155">
        <v>0</v>
      </c>
      <c r="E138" s="155">
        <v>0</v>
      </c>
      <c r="F138" s="155">
        <v>0</v>
      </c>
      <c r="G138" s="151" t="e">
        <f>#N/A</f>
        <v>#N/A</v>
      </c>
    </row>
    <row r="139" spans="1:7" ht="15.75">
      <c r="A139" s="124"/>
      <c r="B139" s="105" t="s">
        <v>504</v>
      </c>
      <c r="C139" s="153">
        <v>-254.73080754591888</v>
      </c>
      <c r="D139" s="157">
        <v>-269.6371892315756</v>
      </c>
      <c r="E139" s="157">
        <v>-273.38005878842114</v>
      </c>
      <c r="F139" s="157">
        <v>-259.3716802793865</v>
      </c>
      <c r="G139" s="151" t="e">
        <f>#N/A</f>
        <v>#N/A</v>
      </c>
    </row>
    <row r="140" spans="1:7" ht="15.75">
      <c r="A140" s="124"/>
      <c r="B140" s="105" t="s">
        <v>505</v>
      </c>
      <c r="C140" s="153">
        <v>253.47853612210002</v>
      </c>
      <c r="D140" s="157">
        <v>298.69440072895054</v>
      </c>
      <c r="E140" s="157">
        <v>343.39307794321775</v>
      </c>
      <c r="F140" s="157">
        <v>372.35159082009477</v>
      </c>
      <c r="G140" s="151" t="e">
        <f>#N/A</f>
        <v>#N/A</v>
      </c>
    </row>
    <row r="141" spans="1:7" ht="15.75">
      <c r="A141" s="124"/>
      <c r="B141" s="105" t="s">
        <v>506</v>
      </c>
      <c r="C141" s="153">
        <v>31.952114379999998</v>
      </c>
      <c r="D141" s="157">
        <v>24.37875</v>
      </c>
      <c r="E141" s="157">
        <v>21.5325</v>
      </c>
      <c r="F141" s="157">
        <v>14.72625</v>
      </c>
      <c r="G141" s="151" t="e">
        <f>#N/A</f>
        <v>#N/A</v>
      </c>
    </row>
    <row r="142" spans="1:7" ht="15.75">
      <c r="A142" s="124"/>
      <c r="B142" s="105" t="s">
        <v>426</v>
      </c>
      <c r="C142" s="153">
        <v>0</v>
      </c>
      <c r="D142" s="157">
        <v>5.811442299474994</v>
      </c>
      <c r="E142" s="157">
        <v>14.002603830959323</v>
      </c>
      <c r="F142" s="157">
        <v>22.595982108141655</v>
      </c>
      <c r="G142" s="151" t="e">
        <f>#N/A</f>
        <v>#N/A</v>
      </c>
    </row>
    <row r="143" spans="1:7" ht="15.75">
      <c r="A143" s="124"/>
      <c r="B143" s="105" t="s">
        <v>507</v>
      </c>
      <c r="C143" s="150">
        <v>-1.2522714238188541</v>
      </c>
      <c r="D143" s="158">
        <v>23.24576919789997</v>
      </c>
      <c r="E143" s="158">
        <v>56.010415323837286</v>
      </c>
      <c r="F143" s="158">
        <v>90.3839284325666</v>
      </c>
      <c r="G143" s="151">
        <f>SUM(C143:F143)</f>
        <v>168.387841530485</v>
      </c>
    </row>
    <row r="144" spans="1:7" ht="15.75">
      <c r="A144" s="124"/>
      <c r="B144" s="105" t="s">
        <v>508</v>
      </c>
      <c r="C144" s="159"/>
      <c r="D144" s="160"/>
      <c r="E144" s="160"/>
      <c r="F144" s="160"/>
      <c r="G144" s="151" t="e">
        <f>#N/A</f>
        <v>#N/A</v>
      </c>
    </row>
    <row r="145" spans="1:14" ht="47.25">
      <c r="A145" s="124"/>
      <c r="B145" s="161" t="s">
        <v>509</v>
      </c>
      <c r="C145" s="159"/>
      <c r="D145" s="162">
        <v>1915.909030155856</v>
      </c>
      <c r="E145" s="162">
        <v>1948.2591186732507</v>
      </c>
      <c r="F145" s="163">
        <v>2025.269242961283</v>
      </c>
      <c r="G145" s="164" t="e">
        <f>#N/A</f>
        <v>#N/A</v>
      </c>
      <c r="H145" s="165" t="s">
        <v>510</v>
      </c>
      <c r="J145" s="166">
        <f>D145/C125-1</f>
        <v>0.5364681030197196</v>
      </c>
      <c r="K145" s="166">
        <f>E145/D125-1</f>
        <v>0.46114921422224286</v>
      </c>
      <c r="L145" s="166">
        <f>F145/E125-1</f>
        <v>0.5070495474008203</v>
      </c>
      <c r="M145" s="166"/>
      <c r="N145" s="166"/>
    </row>
    <row r="146" spans="1:7" ht="15.75">
      <c r="A146" s="124"/>
      <c r="B146" s="167" t="s">
        <v>511</v>
      </c>
      <c r="C146" s="168">
        <v>1724.034046882105</v>
      </c>
      <c r="D146" s="169">
        <v>1915.909030155856</v>
      </c>
      <c r="E146" s="169">
        <v>1948.2591186732507</v>
      </c>
      <c r="F146" s="170">
        <v>2025.269242961283</v>
      </c>
      <c r="G146" s="164" t="e">
        <f>#N/A</f>
        <v>#N/A</v>
      </c>
    </row>
    <row r="147" spans="1:7" ht="15.75">
      <c r="A147" s="124"/>
      <c r="B147" s="171" t="s">
        <v>512</v>
      </c>
      <c r="C147" s="172">
        <v>1369.543120411409</v>
      </c>
      <c r="D147" s="173">
        <v>1452.5588335572888</v>
      </c>
      <c r="E147" s="173">
        <v>1498.8977883816333</v>
      </c>
      <c r="F147" s="174">
        <v>1549.114115091105</v>
      </c>
      <c r="G147" s="151" t="e">
        <f>#N/A</f>
        <v>#N/A</v>
      </c>
    </row>
    <row r="148" spans="1:7" ht="15.75">
      <c r="A148" s="124"/>
      <c r="B148" s="171" t="s">
        <v>513</v>
      </c>
      <c r="C148" s="168">
        <v>77.856587970696</v>
      </c>
      <c r="D148" s="157">
        <v>85.51545832779637</v>
      </c>
      <c r="E148" s="157">
        <v>58.44200337901715</v>
      </c>
      <c r="F148" s="175">
        <v>61.653881887384884</v>
      </c>
      <c r="G148" s="151" t="e">
        <f>#N/A</f>
        <v>#N/A</v>
      </c>
    </row>
    <row r="149" spans="1:7" ht="15.75">
      <c r="A149" s="124"/>
      <c r="B149" s="176" t="s">
        <v>514</v>
      </c>
      <c r="C149" s="168">
        <v>276.6343385000001</v>
      </c>
      <c r="D149" s="157">
        <v>377.83473827077086</v>
      </c>
      <c r="E149" s="157">
        <v>390.9193269126</v>
      </c>
      <c r="F149" s="175">
        <v>414.501245982793</v>
      </c>
      <c r="G149" s="151" t="e">
        <f>#N/A</f>
        <v>#N/A</v>
      </c>
    </row>
    <row r="150" spans="1:7" ht="15.75">
      <c r="A150" s="124"/>
      <c r="B150" s="171" t="s">
        <v>499</v>
      </c>
      <c r="C150" s="172">
        <v>0</v>
      </c>
      <c r="D150" s="173">
        <v>0</v>
      </c>
      <c r="E150" s="173">
        <v>0</v>
      </c>
      <c r="F150" s="174">
        <v>0</v>
      </c>
      <c r="G150" s="151" t="e">
        <f>#N/A</f>
        <v>#N/A</v>
      </c>
    </row>
    <row r="151" spans="1:7" ht="15.75">
      <c r="A151" s="124"/>
      <c r="B151" s="177" t="s">
        <v>515</v>
      </c>
      <c r="C151" s="168">
        <v>295.2247585000001</v>
      </c>
      <c r="D151" s="157">
        <v>335.9186200307709</v>
      </c>
      <c r="E151" s="157">
        <v>378.42838</v>
      </c>
      <c r="F151" s="175">
        <v>401.32329699</v>
      </c>
      <c r="G151" s="151" t="e">
        <f>#N/A</f>
        <v>#N/A</v>
      </c>
    </row>
    <row r="152" spans="1:7" ht="15.75">
      <c r="A152" s="124"/>
      <c r="B152" s="177" t="s">
        <v>516</v>
      </c>
      <c r="C152" s="168">
        <v>1623.4106802157148</v>
      </c>
      <c r="D152" s="157">
        <v>1630.193783011119</v>
      </c>
      <c r="E152" s="157">
        <v>1655.5192821354708</v>
      </c>
      <c r="F152" s="175">
        <v>1752.3612997969412</v>
      </c>
      <c r="G152" s="151" t="e">
        <f>#N/A</f>
        <v>#N/A</v>
      </c>
    </row>
    <row r="153" spans="1:7" ht="15.75">
      <c r="A153" s="124"/>
      <c r="B153" s="178" t="s">
        <v>517</v>
      </c>
      <c r="C153" s="168">
        <v>1559.4716585315348</v>
      </c>
      <c r="D153" s="157">
        <v>1572.4652165853802</v>
      </c>
      <c r="E153" s="157">
        <v>1599.1191961778977</v>
      </c>
      <c r="F153" s="175">
        <v>1678.4381597491545</v>
      </c>
      <c r="G153" s="151" t="e">
        <f>#N/A</f>
        <v>#N/A</v>
      </c>
    </row>
    <row r="154" spans="1:7" ht="15.75">
      <c r="A154" s="124"/>
      <c r="B154" s="177" t="s">
        <v>512</v>
      </c>
      <c r="C154" s="168">
        <v>1559.4716585315348</v>
      </c>
      <c r="D154" s="157">
        <v>1572.4652165853802</v>
      </c>
      <c r="E154" s="157">
        <v>1599.1191961778977</v>
      </c>
      <c r="F154" s="175">
        <v>1678.4381597491545</v>
      </c>
      <c r="G154" s="151" t="e">
        <f>#N/A</f>
        <v>#N/A</v>
      </c>
    </row>
    <row r="155" spans="1:7" ht="15.75">
      <c r="A155" s="124"/>
      <c r="B155" s="171" t="s">
        <v>513</v>
      </c>
      <c r="C155" s="168">
        <v>0</v>
      </c>
      <c r="D155" s="157">
        <v>0</v>
      </c>
      <c r="E155" s="157">
        <v>0</v>
      </c>
      <c r="F155" s="173">
        <v>0</v>
      </c>
      <c r="G155" s="151" t="e">
        <f>#N/A</f>
        <v>#N/A</v>
      </c>
    </row>
    <row r="156" spans="1:7" ht="15.75">
      <c r="A156" s="124"/>
      <c r="B156" s="171" t="s">
        <v>518</v>
      </c>
      <c r="C156" s="157"/>
      <c r="D156" s="157">
        <v>0</v>
      </c>
      <c r="E156" s="157">
        <v>0</v>
      </c>
      <c r="F156" s="175">
        <v>0</v>
      </c>
      <c r="G156" s="151" t="e">
        <f>#N/A</f>
        <v>#N/A</v>
      </c>
    </row>
    <row r="157" spans="1:7" ht="15.75">
      <c r="A157" s="124"/>
      <c r="B157" s="171" t="s">
        <v>499</v>
      </c>
      <c r="C157" s="173"/>
      <c r="D157" s="173">
        <v>0</v>
      </c>
      <c r="E157" s="173">
        <v>0</v>
      </c>
      <c r="F157" s="174">
        <v>0</v>
      </c>
      <c r="G157" s="151" t="e">
        <f>#N/A</f>
        <v>#N/A</v>
      </c>
    </row>
    <row r="158" spans="1:7" ht="15.75">
      <c r="A158" s="124"/>
      <c r="B158" s="171" t="s">
        <v>519</v>
      </c>
      <c r="C158" s="157">
        <v>63.93902168418</v>
      </c>
      <c r="D158" s="157">
        <v>57.72856642573883</v>
      </c>
      <c r="E158" s="157">
        <v>56.40008595757309</v>
      </c>
      <c r="F158" s="175">
        <v>73.92314004778686</v>
      </c>
      <c r="G158" s="151" t="e">
        <f>#N/A</f>
        <v>#N/A</v>
      </c>
    </row>
    <row r="159" spans="1:7" ht="16.5">
      <c r="A159" s="124"/>
      <c r="B159" s="179" t="s">
        <v>520</v>
      </c>
      <c r="C159" s="175">
        <v>0</v>
      </c>
      <c r="D159" s="175">
        <v>0</v>
      </c>
      <c r="E159" s="175">
        <v>0</v>
      </c>
      <c r="F159" s="175">
        <v>0</v>
      </c>
      <c r="G159" s="151" t="e">
        <f>#N/A</f>
        <v>#N/A</v>
      </c>
    </row>
    <row r="160" spans="1:7" ht="15.75">
      <c r="A160" s="124"/>
      <c r="B160" s="105" t="s">
        <v>521</v>
      </c>
      <c r="C160" s="173">
        <v>31.952114379999998</v>
      </c>
      <c r="D160" s="173">
        <v>24.37875</v>
      </c>
      <c r="E160" s="173">
        <v>21.5325</v>
      </c>
      <c r="F160" s="174">
        <v>14.72625</v>
      </c>
      <c r="G160" s="151" t="e">
        <f>#N/A</f>
        <v>#N/A</v>
      </c>
    </row>
    <row r="161" spans="1:7" ht="15.75">
      <c r="A161" s="124"/>
      <c r="B161" s="180" t="s">
        <v>522</v>
      </c>
      <c r="C161" s="168">
        <v>100.62336666639021</v>
      </c>
      <c r="D161" s="157">
        <v>285.7152471447371</v>
      </c>
      <c r="E161" s="157">
        <v>292.73983653777987</v>
      </c>
      <c r="F161" s="175">
        <v>272.90794316434176</v>
      </c>
      <c r="G161" s="151" t="e">
        <f>#N/A</f>
        <v>#N/A</v>
      </c>
    </row>
    <row r="162" spans="1:7" ht="15.75">
      <c r="A162" s="124"/>
      <c r="B162" s="161" t="s">
        <v>523</v>
      </c>
      <c r="C162" s="168"/>
      <c r="D162" s="157"/>
      <c r="E162" s="157"/>
      <c r="F162" s="175"/>
      <c r="G162" s="151" t="e">
        <f>#N/A</f>
        <v>#N/A</v>
      </c>
    </row>
    <row r="163" spans="1:7" ht="16.5">
      <c r="A163" s="124"/>
      <c r="B163" s="179" t="s">
        <v>511</v>
      </c>
      <c r="C163" s="181">
        <v>152.97232079999998</v>
      </c>
      <c r="D163" s="175">
        <v>0</v>
      </c>
      <c r="E163" s="175">
        <v>0</v>
      </c>
      <c r="F163" s="175">
        <v>0</v>
      </c>
      <c r="G163" s="151" t="e">
        <f>#N/A</f>
        <v>#N/A</v>
      </c>
    </row>
    <row r="164" spans="1:7" ht="15.75">
      <c r="A164" s="124"/>
      <c r="B164" s="105" t="s">
        <v>524</v>
      </c>
      <c r="C164" s="172">
        <v>253.27691816</v>
      </c>
      <c r="D164" s="173">
        <v>288.16</v>
      </c>
      <c r="E164" s="173">
        <v>239.296</v>
      </c>
      <c r="F164" s="174">
        <v>139.06199999999998</v>
      </c>
      <c r="G164" s="151" t="e">
        <f>#N/A</f>
        <v>#N/A</v>
      </c>
    </row>
    <row r="165" spans="1:7" ht="15.75">
      <c r="A165" s="124"/>
      <c r="B165" s="180" t="s">
        <v>525</v>
      </c>
      <c r="C165" s="168">
        <v>-100.30459736000003</v>
      </c>
      <c r="D165" s="157">
        <v>-288.16</v>
      </c>
      <c r="E165" s="157">
        <v>-239.296</v>
      </c>
      <c r="F165" s="175">
        <v>-139.06199999999998</v>
      </c>
      <c r="G165" s="151" t="e">
        <f>#N/A</f>
        <v>#N/A</v>
      </c>
    </row>
    <row r="166" spans="1:7" ht="15.75">
      <c r="A166" s="124"/>
      <c r="B166" s="182" t="s">
        <v>526</v>
      </c>
      <c r="C166" s="172"/>
      <c r="D166" s="173"/>
      <c r="E166" s="173"/>
      <c r="F166" s="174"/>
      <c r="G166" s="151" t="e">
        <f>#N/A</f>
        <v>#N/A</v>
      </c>
    </row>
    <row r="167" spans="1:7" ht="15.75">
      <c r="A167" s="124"/>
      <c r="B167" s="156" t="s">
        <v>511</v>
      </c>
      <c r="C167" s="168">
        <v>62</v>
      </c>
      <c r="D167" s="157">
        <v>0</v>
      </c>
      <c r="E167" s="157">
        <v>0</v>
      </c>
      <c r="F167" s="175">
        <v>0</v>
      </c>
      <c r="G167" s="151" t="e">
        <f>#N/A</f>
        <v>#N/A</v>
      </c>
    </row>
    <row r="168" spans="1:7" ht="15.75">
      <c r="A168" s="124"/>
      <c r="B168" s="176" t="s">
        <v>527</v>
      </c>
      <c r="C168" s="168">
        <v>0</v>
      </c>
      <c r="D168" s="157">
        <v>0</v>
      </c>
      <c r="E168" s="157">
        <v>0</v>
      </c>
      <c r="F168" s="175">
        <v>0</v>
      </c>
      <c r="G168" s="151" t="e">
        <f>#N/A</f>
        <v>#N/A</v>
      </c>
    </row>
    <row r="169" spans="1:7" ht="15.75">
      <c r="A169" s="124"/>
      <c r="B169" s="156" t="s">
        <v>528</v>
      </c>
      <c r="C169" s="168">
        <v>62</v>
      </c>
      <c r="D169" s="157">
        <v>0</v>
      </c>
      <c r="E169" s="157">
        <v>0</v>
      </c>
      <c r="F169" s="175">
        <v>0</v>
      </c>
      <c r="G169" s="151" t="e">
        <f>#N/A</f>
        <v>#N/A</v>
      </c>
    </row>
    <row r="170" spans="1:7" ht="16.5">
      <c r="A170" s="124"/>
      <c r="B170" s="179" t="s">
        <v>529</v>
      </c>
      <c r="C170" s="168">
        <v>90</v>
      </c>
      <c r="D170" s="157">
        <v>23</v>
      </c>
      <c r="E170" s="157">
        <v>55.232457798005356</v>
      </c>
      <c r="F170" s="157">
        <v>119.23245779800537</v>
      </c>
      <c r="G170" s="151" t="e">
        <f>#N/A</f>
        <v>#N/A</v>
      </c>
    </row>
    <row r="171" spans="1:7" ht="15.75">
      <c r="A171" s="124"/>
      <c r="B171" s="105" t="s">
        <v>209</v>
      </c>
      <c r="C171" s="168">
        <v>90</v>
      </c>
      <c r="D171" s="157">
        <v>23</v>
      </c>
      <c r="E171" s="157">
        <v>55</v>
      </c>
      <c r="F171" s="175">
        <v>119</v>
      </c>
      <c r="G171" s="151" t="e">
        <f>#N/A</f>
        <v>#N/A</v>
      </c>
    </row>
    <row r="172" spans="1:7" ht="15.75">
      <c r="A172" s="124"/>
      <c r="B172" s="180" t="s">
        <v>530</v>
      </c>
      <c r="C172" s="172">
        <v>-28</v>
      </c>
      <c r="D172" s="173">
        <v>-23</v>
      </c>
      <c r="E172" s="173">
        <v>-55.232457798005356</v>
      </c>
      <c r="F172" s="174">
        <v>-119.23245779800537</v>
      </c>
      <c r="G172" s="151" t="e">
        <f>#N/A</f>
        <v>#N/A</v>
      </c>
    </row>
    <row r="173" spans="1:7" ht="15.75">
      <c r="A173" s="124"/>
      <c r="B173" s="183" t="s">
        <v>531</v>
      </c>
      <c r="C173" s="172">
        <v>-27.68123069360982</v>
      </c>
      <c r="D173" s="173">
        <v>-25.444752855262948</v>
      </c>
      <c r="E173" s="173">
        <v>-1.788621260225483</v>
      </c>
      <c r="F173" s="174">
        <v>14.613485366336405</v>
      </c>
      <c r="G173" s="151" t="e">
        <f>#N/A</f>
        <v>#N/A</v>
      </c>
    </row>
    <row r="174" spans="1:7" ht="15.75">
      <c r="A174" s="124"/>
      <c r="B174" s="183" t="s">
        <v>532</v>
      </c>
      <c r="C174" s="172">
        <v>0</v>
      </c>
      <c r="D174" s="173">
        <v>0</v>
      </c>
      <c r="E174" s="173">
        <v>0</v>
      </c>
      <c r="F174" s="174">
        <v>0</v>
      </c>
      <c r="G174" s="151" t="e">
        <f>#N/A</f>
        <v>#N/A</v>
      </c>
    </row>
    <row r="175" spans="1:7" ht="15.75">
      <c r="A175" s="124"/>
      <c r="B175" s="183" t="s">
        <v>533</v>
      </c>
      <c r="C175" s="172">
        <v>0</v>
      </c>
      <c r="D175" s="173">
        <v>0</v>
      </c>
      <c r="E175" s="173">
        <v>0</v>
      </c>
      <c r="F175" s="174">
        <v>0</v>
      </c>
      <c r="G175" s="151" t="e">
        <f>#N/A</f>
        <v>#N/A</v>
      </c>
    </row>
    <row r="176" spans="1:7" ht="15.75">
      <c r="A176" s="124"/>
      <c r="B176" s="183" t="s">
        <v>534</v>
      </c>
      <c r="C176" s="172">
        <v>0</v>
      </c>
      <c r="D176" s="173">
        <v>0</v>
      </c>
      <c r="E176" s="173">
        <v>0</v>
      </c>
      <c r="F176" s="174">
        <v>0</v>
      </c>
      <c r="G176" s="151" t="e">
        <f>#N/A</f>
        <v>#N/A</v>
      </c>
    </row>
    <row r="177" spans="1:7" ht="15.75">
      <c r="A177" s="124"/>
      <c r="B177" s="105" t="s">
        <v>535</v>
      </c>
      <c r="C177" s="172">
        <v>0</v>
      </c>
      <c r="D177" s="173">
        <v>0</v>
      </c>
      <c r="E177" s="173">
        <v>0</v>
      </c>
      <c r="F177" s="173">
        <v>0</v>
      </c>
      <c r="G177" s="151" t="e">
        <f>#N/A</f>
        <v>#N/A</v>
      </c>
    </row>
    <row r="178" spans="1:7" ht="15.75">
      <c r="A178" s="124"/>
      <c r="B178" s="105" t="s">
        <v>536</v>
      </c>
      <c r="C178" s="172">
        <v>0</v>
      </c>
      <c r="D178" s="173">
        <v>0</v>
      </c>
      <c r="E178" s="173">
        <v>0</v>
      </c>
      <c r="F178" s="174">
        <v>0</v>
      </c>
      <c r="G178" s="151" t="e">
        <f>#N/A</f>
        <v>#N/A</v>
      </c>
    </row>
    <row r="179" spans="1:7" ht="15.75">
      <c r="A179" s="124"/>
      <c r="B179" s="183" t="s">
        <v>531</v>
      </c>
      <c r="C179" s="168">
        <v>-27.68123069360982</v>
      </c>
      <c r="D179" s="157">
        <v>-25.444752855262948</v>
      </c>
      <c r="E179" s="157">
        <v>-1.788621260225483</v>
      </c>
      <c r="F179" s="175">
        <v>14.613485366336405</v>
      </c>
      <c r="G179" s="151" t="e">
        <f>#N/A</f>
        <v>#N/A</v>
      </c>
    </row>
    <row r="180" spans="1:7" ht="15.75">
      <c r="A180" s="124"/>
      <c r="B180" s="176" t="s">
        <v>537</v>
      </c>
      <c r="C180" s="172">
        <v>-27.68123069360982</v>
      </c>
      <c r="D180" s="173">
        <v>-25.444752855262948</v>
      </c>
      <c r="E180" s="173">
        <v>-27.23337411548843</v>
      </c>
      <c r="F180" s="174">
        <v>-12.619888749152025</v>
      </c>
      <c r="G180" s="151" t="e">
        <f>#N/A</f>
        <v>#N/A</v>
      </c>
    </row>
    <row r="181" spans="1:7" ht="15.75">
      <c r="A181" s="124"/>
      <c r="B181" s="176" t="s">
        <v>538</v>
      </c>
      <c r="C181" s="172">
        <v>79.32396158499958</v>
      </c>
      <c r="D181" s="173">
        <v>51.642730891390244</v>
      </c>
      <c r="E181" s="173">
        <v>26.197978036127296</v>
      </c>
      <c r="F181" s="174">
        <v>24.409356775901813</v>
      </c>
      <c r="G181" s="151" t="e">
        <f>#N/A</f>
        <v>#N/A</v>
      </c>
    </row>
    <row r="182" spans="1:7" ht="15.75">
      <c r="A182" s="124"/>
      <c r="B182" s="124" t="s">
        <v>539</v>
      </c>
      <c r="C182" s="184">
        <v>225</v>
      </c>
      <c r="D182" s="185">
        <v>197</v>
      </c>
      <c r="E182" s="185">
        <v>174</v>
      </c>
      <c r="F182" s="185">
        <v>119</v>
      </c>
      <c r="G182" s="151" t="e">
        <f>#N/A</f>
        <v>#N/A</v>
      </c>
    </row>
    <row r="183" spans="1:7" ht="15.75">
      <c r="A183" s="124"/>
      <c r="B183" s="124" t="s">
        <v>540</v>
      </c>
      <c r="C183" s="184">
        <v>197</v>
      </c>
      <c r="D183" s="124">
        <v>174</v>
      </c>
      <c r="E183" s="124">
        <v>119</v>
      </c>
      <c r="F183" s="124">
        <v>0</v>
      </c>
      <c r="G183" s="151">
        <f>SUM(C183:F183)</f>
        <v>490</v>
      </c>
    </row>
    <row r="188" spans="1:9" ht="15.75">
      <c r="A188" s="186"/>
      <c r="B188" s="186"/>
      <c r="C188" s="186"/>
      <c r="D188" s="187"/>
      <c r="E188" s="187"/>
      <c r="F188" s="187"/>
      <c r="G188" s="107"/>
      <c r="H188" s="148"/>
      <c r="I188" s="148"/>
    </row>
    <row r="189" spans="1:9" ht="15.75">
      <c r="A189" s="188"/>
      <c r="B189" s="189" t="s">
        <v>541</v>
      </c>
      <c r="C189" s="189"/>
      <c r="D189" s="190"/>
      <c r="E189" s="190"/>
      <c r="F189" s="190"/>
      <c r="G189" s="190"/>
      <c r="H189" s="191"/>
      <c r="I189" s="148"/>
    </row>
    <row r="190" spans="1:9" ht="15.75">
      <c r="A190" s="188"/>
      <c r="B190" s="192" t="s">
        <v>542</v>
      </c>
      <c r="C190" s="192">
        <v>2016</v>
      </c>
      <c r="D190" s="192">
        <v>2017</v>
      </c>
      <c r="E190" s="192">
        <v>2018</v>
      </c>
      <c r="F190" s="192">
        <v>2019</v>
      </c>
      <c r="G190" s="192" t="s">
        <v>345</v>
      </c>
      <c r="H190" s="193" t="s">
        <v>543</v>
      </c>
      <c r="I190" s="148"/>
    </row>
    <row r="191" spans="1:9" ht="15.75">
      <c r="A191" s="188"/>
      <c r="B191" s="190" t="s">
        <v>460</v>
      </c>
      <c r="C191" s="194">
        <f>C63-C75</f>
        <v>0.011800000000022237</v>
      </c>
      <c r="D191" s="194">
        <f>D63-D75</f>
        <v>-0.0006539999999404245</v>
      </c>
      <c r="E191" s="194">
        <f>E63-E75</f>
        <v>0.00011772999951631391</v>
      </c>
      <c r="F191" s="194">
        <f>F63-F75</f>
        <v>0.0021111852701949374</v>
      </c>
      <c r="G191" s="195">
        <f>SUM(C191:F191)</f>
        <v>0.013374915269793064</v>
      </c>
      <c r="H191" s="196"/>
      <c r="I191" s="148"/>
    </row>
    <row r="192" spans="1:9" ht="47.25">
      <c r="A192" s="188"/>
      <c r="B192" s="190" t="s">
        <v>544</v>
      </c>
      <c r="C192" s="194">
        <f>C58-C90</f>
        <v>9.459427118644047</v>
      </c>
      <c r="D192" s="194">
        <f>D58-D90</f>
        <v>-9.97627118763944E-05</v>
      </c>
      <c r="E192" s="194">
        <f>E58-E90</f>
        <v>1.7958813479879154E-05</v>
      </c>
      <c r="F192" s="194">
        <f>F58-F90</f>
        <v>0.0003220452106980076</v>
      </c>
      <c r="G192" s="195">
        <f>SUM(D192:F192)</f>
        <v>0.00024024131230149237</v>
      </c>
      <c r="H192" s="197" t="s">
        <v>545</v>
      </c>
      <c r="I192" s="148"/>
    </row>
    <row r="193" spans="1:9" ht="15.75">
      <c r="A193" s="188"/>
      <c r="B193" s="190"/>
      <c r="C193" s="190"/>
      <c r="D193" s="190"/>
      <c r="E193" s="190"/>
      <c r="F193" s="190"/>
      <c r="G193" s="190"/>
      <c r="H193" s="196"/>
      <c r="I193" s="148"/>
    </row>
    <row r="194" spans="1:9" ht="15.75">
      <c r="A194" s="198"/>
      <c r="B194" s="189" t="s">
        <v>546</v>
      </c>
      <c r="C194" s="189"/>
      <c r="D194" s="190"/>
      <c r="E194" s="190"/>
      <c r="F194" s="190"/>
      <c r="G194" s="190"/>
      <c r="H194" s="196"/>
      <c r="I194" s="148"/>
    </row>
    <row r="195" spans="1:9" ht="15.75">
      <c r="A195" s="198"/>
      <c r="B195" s="192" t="s">
        <v>542</v>
      </c>
      <c r="C195" s="192">
        <v>2016</v>
      </c>
      <c r="D195" s="192">
        <v>2017</v>
      </c>
      <c r="E195" s="192">
        <v>2018</v>
      </c>
      <c r="F195" s="192">
        <v>2019</v>
      </c>
      <c r="G195" s="192" t="s">
        <v>345</v>
      </c>
      <c r="H195" s="193" t="s">
        <v>543</v>
      </c>
      <c r="I195" s="148"/>
    </row>
    <row r="196" spans="1:9" ht="15.75">
      <c r="A196" s="198"/>
      <c r="B196" s="190" t="s">
        <v>442</v>
      </c>
      <c r="C196" s="199">
        <f>C48-C169</f>
        <v>0</v>
      </c>
      <c r="D196" s="199">
        <f>D48-D169</f>
        <v>0</v>
      </c>
      <c r="E196" s="199">
        <f>E48-E169</f>
        <v>0</v>
      </c>
      <c r="F196" s="199">
        <f>F48-F169</f>
        <v>0</v>
      </c>
      <c r="G196" s="200">
        <f>SUM(C196:F196)</f>
        <v>0</v>
      </c>
      <c r="H196" s="197"/>
      <c r="I196" s="148"/>
    </row>
    <row r="197" spans="1:9" ht="15.75">
      <c r="A197" s="198"/>
      <c r="B197" s="190" t="s">
        <v>547</v>
      </c>
      <c r="C197" s="201">
        <f>C171-C53</f>
        <v>0</v>
      </c>
      <c r="D197" s="201">
        <f>D171-D53</f>
        <v>0</v>
      </c>
      <c r="E197" s="201">
        <f>E171-E53</f>
        <v>0</v>
      </c>
      <c r="F197" s="201">
        <f>F171-F53</f>
        <v>0</v>
      </c>
      <c r="G197" s="200">
        <f>SUM(D197:F197)</f>
        <v>0</v>
      </c>
      <c r="H197" s="197"/>
      <c r="I197" s="148"/>
    </row>
    <row r="198" spans="1:9" ht="15.75">
      <c r="A198" s="198"/>
      <c r="B198" s="202" t="s">
        <v>548</v>
      </c>
      <c r="C198" s="201">
        <f>C237-C240</f>
        <v>536.4483308220792</v>
      </c>
      <c r="D198" s="201" t="e">
        <f>#N/A</f>
        <v>#N/A</v>
      </c>
      <c r="E198" s="201" t="e">
        <f>#N/A</f>
        <v>#N/A</v>
      </c>
      <c r="F198" s="201" t="e">
        <f>#N/A</f>
        <v>#N/A</v>
      </c>
      <c r="G198" s="200" t="e">
        <f>SUM(D198:F198)</f>
        <v>#N/A</v>
      </c>
      <c r="H198" s="456" t="s">
        <v>549</v>
      </c>
      <c r="I198" s="148"/>
    </row>
    <row r="199" spans="1:9" ht="15.75">
      <c r="A199" s="198"/>
      <c r="B199" s="202" t="s">
        <v>550</v>
      </c>
      <c r="C199" s="201">
        <f>C238-C241</f>
        <v>303.46208836476376</v>
      </c>
      <c r="D199" s="201" t="e">
        <f>D238-D241</f>
        <v>#N/A</v>
      </c>
      <c r="E199" s="201" t="e">
        <f>#N/A</f>
        <v>#N/A</v>
      </c>
      <c r="F199" s="201" t="e">
        <f>#N/A</f>
        <v>#N/A</v>
      </c>
      <c r="G199" s="200" t="e">
        <f>SUM(D199:F199)</f>
        <v>#N/A</v>
      </c>
      <c r="H199" s="456"/>
      <c r="I199" s="148"/>
    </row>
    <row r="200" spans="1:9" ht="15.75">
      <c r="A200" s="198"/>
      <c r="B200" s="190" t="s">
        <v>551</v>
      </c>
      <c r="C200" s="201">
        <f>C70-C183</f>
        <v>0</v>
      </c>
      <c r="D200" s="201">
        <f>D70-D183</f>
        <v>0</v>
      </c>
      <c r="E200" s="201">
        <f>E70-E183</f>
        <v>0</v>
      </c>
      <c r="F200" s="201">
        <f>F70-F183</f>
        <v>0</v>
      </c>
      <c r="G200" s="200">
        <f>SUM(D200:F200)</f>
        <v>0</v>
      </c>
      <c r="H200" s="203"/>
      <c r="I200" s="148"/>
    </row>
    <row r="201" spans="1:9" ht="15.75">
      <c r="A201" s="198"/>
      <c r="B201" s="190"/>
      <c r="C201" s="190"/>
      <c r="D201" s="204"/>
      <c r="E201" s="204"/>
      <c r="F201" s="204"/>
      <c r="G201" s="205"/>
      <c r="H201" s="196"/>
      <c r="I201" s="148"/>
    </row>
    <row r="202" spans="1:9" ht="15.75">
      <c r="A202" s="188"/>
      <c r="B202" s="189" t="s">
        <v>552</v>
      </c>
      <c r="C202" s="189"/>
      <c r="D202" s="190"/>
      <c r="E202" s="190"/>
      <c r="F202" s="190"/>
      <c r="G202" s="190"/>
      <c r="H202" s="196"/>
      <c r="I202" s="148"/>
    </row>
    <row r="203" spans="1:9" ht="15.75">
      <c r="A203" s="188"/>
      <c r="B203" s="192" t="s">
        <v>542</v>
      </c>
      <c r="C203" s="192">
        <v>2016</v>
      </c>
      <c r="D203" s="192">
        <v>2017</v>
      </c>
      <c r="E203" s="192">
        <v>2018</v>
      </c>
      <c r="F203" s="192">
        <v>2019</v>
      </c>
      <c r="G203" s="192" t="s">
        <v>345</v>
      </c>
      <c r="H203" s="193" t="s">
        <v>543</v>
      </c>
      <c r="I203" s="148"/>
    </row>
    <row r="204" spans="1:9" ht="15.75">
      <c r="A204" s="188"/>
      <c r="B204" s="190" t="s">
        <v>495</v>
      </c>
      <c r="C204" s="201">
        <f>C125-C4</f>
        <v>-224.45218664173444</v>
      </c>
      <c r="D204" s="201">
        <f>D125-D4</f>
        <v>-240.0074119383164</v>
      </c>
      <c r="E204" s="201">
        <f>E125-E4</f>
        <v>-241.8954734180843</v>
      </c>
      <c r="F204" s="201">
        <f>F125-F4</f>
        <v>-251.63285754971025</v>
      </c>
      <c r="G204" s="200" t="e">
        <f>#N/A</f>
        <v>#N/A</v>
      </c>
      <c r="H204" s="451" t="s">
        <v>553</v>
      </c>
      <c r="I204" s="148"/>
    </row>
    <row r="205" spans="1:9" ht="15.75">
      <c r="A205" s="188"/>
      <c r="B205" s="190" t="s">
        <v>501</v>
      </c>
      <c r="C205" s="201">
        <f>C131-C8</f>
        <v>-270.30373199999985</v>
      </c>
      <c r="D205" s="201">
        <f>D131-D8</f>
        <v>-288.5421059999999</v>
      </c>
      <c r="E205" s="201">
        <f>E131-E8</f>
        <v>-291.1038839999999</v>
      </c>
      <c r="F205" s="201">
        <f>F131-F8</f>
        <v>-298.31975999999986</v>
      </c>
      <c r="G205" s="200" t="e">
        <f>#N/A</f>
        <v>#N/A</v>
      </c>
      <c r="H205" s="451"/>
      <c r="I205" s="148"/>
    </row>
    <row r="206" spans="1:9" ht="15.75">
      <c r="A206" s="188"/>
      <c r="B206" s="190" t="s">
        <v>504</v>
      </c>
      <c r="C206" s="201">
        <f>C139-C22</f>
        <v>45.85154535826541</v>
      </c>
      <c r="D206" s="201">
        <f>D139-D22</f>
        <v>48.53469406168347</v>
      </c>
      <c r="E206" s="201">
        <f>E139-E22</f>
        <v>49.20841058191559</v>
      </c>
      <c r="F206" s="201">
        <f>F139-F22</f>
        <v>46.68690245028961</v>
      </c>
      <c r="G206" s="200" t="e">
        <f>#N/A</f>
        <v>#N/A</v>
      </c>
      <c r="H206" s="451"/>
      <c r="I206" s="148"/>
    </row>
    <row r="207" spans="1:9" ht="15.75">
      <c r="A207" s="188"/>
      <c r="B207" s="190" t="s">
        <v>505</v>
      </c>
      <c r="C207" s="201">
        <f>C140-C28</f>
        <v>-40.31468777485088</v>
      </c>
      <c r="D207" s="201">
        <f>D140-D28</f>
        <v>132.11620969997443</v>
      </c>
      <c r="E207" s="201">
        <f>E140-E28</f>
        <v>171.9698935448862</v>
      </c>
      <c r="F207" s="201">
        <f>F140-F28</f>
        <v>199.49066877985499</v>
      </c>
      <c r="G207" s="200" t="e">
        <f>#N/A</f>
        <v>#N/A</v>
      </c>
      <c r="H207" s="451"/>
      <c r="I207" s="107"/>
    </row>
    <row r="208" spans="1:9" ht="15.75">
      <c r="A208" s="188"/>
      <c r="B208" s="190" t="s">
        <v>422</v>
      </c>
      <c r="C208" s="201">
        <f>C141-C30</f>
        <v>0</v>
      </c>
      <c r="D208" s="201">
        <f>D141-D30</f>
        <v>0</v>
      </c>
      <c r="E208" s="201">
        <f>E141-E30</f>
        <v>0</v>
      </c>
      <c r="F208" s="201">
        <f>F141-F30</f>
        <v>0</v>
      </c>
      <c r="G208" s="200" t="e">
        <f>#N/A</f>
        <v>#N/A</v>
      </c>
      <c r="H208" s="197"/>
      <c r="I208" s="148"/>
    </row>
    <row r="209" spans="1:9" ht="15.75">
      <c r="A209" s="188"/>
      <c r="B209" s="190" t="s">
        <v>426</v>
      </c>
      <c r="C209" s="201">
        <f>C142-C32</f>
        <v>0</v>
      </c>
      <c r="D209" s="201" t="e">
        <f>#N/A</f>
        <v>#N/A</v>
      </c>
      <c r="E209" s="201" t="e">
        <f>#N/A</f>
        <v>#N/A</v>
      </c>
      <c r="F209" s="201" t="e">
        <f>#N/A</f>
        <v>#N/A</v>
      </c>
      <c r="G209" s="200" t="e">
        <f>#N/A</f>
        <v>#N/A</v>
      </c>
      <c r="H209" s="197"/>
      <c r="I209" s="148"/>
    </row>
    <row r="210" spans="1:9" ht="15.75">
      <c r="A210" s="188"/>
      <c r="B210" s="190" t="s">
        <v>507</v>
      </c>
      <c r="C210" s="201">
        <f>C143-C33</f>
        <v>2.842170943040401E-14</v>
      </c>
      <c r="D210" s="201" t="e">
        <f>#N/A</f>
        <v>#N/A</v>
      </c>
      <c r="E210" s="201" t="e">
        <f>#N/A</f>
        <v>#N/A</v>
      </c>
      <c r="F210" s="201" t="e">
        <f>#N/A</f>
        <v>#N/A</v>
      </c>
      <c r="G210" s="200" t="e">
        <f>#N/A</f>
        <v>#N/A</v>
      </c>
      <c r="H210" s="206"/>
      <c r="I210" s="148"/>
    </row>
    <row r="211" spans="1:9" ht="15.75">
      <c r="A211" s="188"/>
      <c r="B211" s="190"/>
      <c r="C211" s="190"/>
      <c r="D211" s="190"/>
      <c r="E211" s="190"/>
      <c r="F211" s="190"/>
      <c r="G211" s="190"/>
      <c r="H211" s="206"/>
      <c r="I211" s="148"/>
    </row>
    <row r="212" spans="1:9" ht="15.75">
      <c r="A212" s="188"/>
      <c r="B212" s="189" t="s">
        <v>554</v>
      </c>
      <c r="C212" s="189"/>
      <c r="D212" s="190"/>
      <c r="E212" s="190"/>
      <c r="F212" s="190"/>
      <c r="G212" s="190"/>
      <c r="H212" s="206"/>
      <c r="I212" s="148"/>
    </row>
    <row r="213" spans="1:9" ht="15.75">
      <c r="A213" s="198"/>
      <c r="B213" s="192" t="s">
        <v>542</v>
      </c>
      <c r="C213" s="192">
        <v>2016</v>
      </c>
      <c r="D213" s="192">
        <v>2017</v>
      </c>
      <c r="E213" s="192">
        <v>2018</v>
      </c>
      <c r="F213" s="192">
        <v>2019</v>
      </c>
      <c r="G213" s="192" t="s">
        <v>345</v>
      </c>
      <c r="H213" s="193" t="s">
        <v>543</v>
      </c>
      <c r="I213" s="148"/>
    </row>
    <row r="214" spans="1:9" ht="15.75">
      <c r="A214" s="198"/>
      <c r="B214" s="190" t="s">
        <v>555</v>
      </c>
      <c r="C214" s="201">
        <f>C164-C75</f>
        <v>0.011800000000022237</v>
      </c>
      <c r="D214" s="201">
        <f>D164-D75</f>
        <v>-0.0006539999999404245</v>
      </c>
      <c r="E214" s="201">
        <f>E164-E75</f>
        <v>0.00011772999951631391</v>
      </c>
      <c r="F214" s="201">
        <f>F164-F75</f>
        <v>0.0021111852701949374</v>
      </c>
      <c r="G214" s="200">
        <f>SUM(C214:F214)</f>
        <v>0.013374915269793064</v>
      </c>
      <c r="H214" s="206"/>
      <c r="I214" s="148"/>
    </row>
    <row r="215" spans="1:9" ht="15.75">
      <c r="A215" s="198"/>
      <c r="B215" s="202" t="s">
        <v>556</v>
      </c>
      <c r="C215" s="207">
        <f>C239-C67</f>
        <v>0</v>
      </c>
      <c r="D215" s="207" t="e">
        <f>D239-D67</f>
        <v>#N/A</v>
      </c>
      <c r="E215" s="207" t="e">
        <f>E239-E67</f>
        <v>#N/A</v>
      </c>
      <c r="F215" s="207" t="e">
        <f>F239-F67</f>
        <v>#N/A</v>
      </c>
      <c r="G215" s="200" t="e">
        <f>SUM(D215:F215)</f>
        <v>#N/A</v>
      </c>
      <c r="H215" s="206"/>
      <c r="I215" s="148"/>
    </row>
    <row r="216" spans="1:9" ht="15.75">
      <c r="A216" s="198"/>
      <c r="B216" s="208" t="s">
        <v>557</v>
      </c>
      <c r="C216" s="201">
        <f>(C182-C183)-(C171-C167)</f>
        <v>0</v>
      </c>
      <c r="D216" s="201">
        <f>(D182-D183)-(D171-D167)</f>
        <v>0</v>
      </c>
      <c r="E216" s="201">
        <f>(E182-E183)-(E171-E167)</f>
        <v>0</v>
      </c>
      <c r="F216" s="201">
        <f>(F182-F183)-(F171-F167)</f>
        <v>0</v>
      </c>
      <c r="G216" s="200">
        <f>SUM(D216:F216)</f>
        <v>0</v>
      </c>
      <c r="H216" s="197"/>
      <c r="I216" s="148"/>
    </row>
    <row r="217" spans="1:9" ht="15.75">
      <c r="A217" s="198"/>
      <c r="B217" s="190"/>
      <c r="C217" s="190"/>
      <c r="D217" s="209"/>
      <c r="E217" s="209"/>
      <c r="F217" s="209"/>
      <c r="G217" s="190"/>
      <c r="H217" s="206"/>
      <c r="I217" s="148"/>
    </row>
    <row r="218" spans="1:9" ht="15.75">
      <c r="A218" s="198"/>
      <c r="B218" s="189" t="s">
        <v>558</v>
      </c>
      <c r="C218" s="189"/>
      <c r="D218" s="190"/>
      <c r="E218" s="190"/>
      <c r="F218" s="190"/>
      <c r="G218" s="190"/>
      <c r="H218" s="206"/>
      <c r="I218" s="148"/>
    </row>
    <row r="219" spans="1:9" ht="15.75">
      <c r="A219" s="198"/>
      <c r="B219" s="192" t="s">
        <v>542</v>
      </c>
      <c r="C219" s="192">
        <v>2016</v>
      </c>
      <c r="D219" s="192">
        <v>2017</v>
      </c>
      <c r="E219" s="192">
        <v>2018</v>
      </c>
      <c r="F219" s="192">
        <v>2019</v>
      </c>
      <c r="G219" s="192" t="s">
        <v>345</v>
      </c>
      <c r="H219" s="193" t="s">
        <v>543</v>
      </c>
      <c r="I219" s="148"/>
    </row>
    <row r="220" spans="1:9" ht="15.75">
      <c r="A220" s="198"/>
      <c r="B220" s="210" t="s">
        <v>559</v>
      </c>
      <c r="C220" s="211">
        <f>C15</f>
        <v>182.08791219999995</v>
      </c>
      <c r="D220" s="211">
        <f>D15</f>
        <v>248.444089961</v>
      </c>
      <c r="E220" s="211">
        <f>E15</f>
        <v>249.09855200399997</v>
      </c>
      <c r="F220" s="211">
        <f>F15</f>
        <v>247.51132661719998</v>
      </c>
      <c r="G220" s="211">
        <f>SUM(C220:F220)</f>
        <v>927.1418807821999</v>
      </c>
      <c r="H220" s="148"/>
      <c r="I220" s="148"/>
    </row>
    <row r="221" spans="1:9" ht="15.75">
      <c r="A221" s="198"/>
      <c r="B221" s="208" t="s">
        <v>560</v>
      </c>
      <c r="C221" s="194">
        <f>C33</f>
        <v>-1.2522714238188826</v>
      </c>
      <c r="D221" s="194">
        <f>D33</f>
        <v>23.245769197900064</v>
      </c>
      <c r="E221" s="194">
        <f>E33</f>
        <v>56.01041532383742</v>
      </c>
      <c r="F221" s="194">
        <f>F33</f>
        <v>90.38392843256656</v>
      </c>
      <c r="G221" s="194">
        <f>SUM(C221:F221)</f>
        <v>168.38784153048516</v>
      </c>
      <c r="H221" s="206"/>
      <c r="I221" s="148"/>
    </row>
    <row r="222" spans="1:9" ht="15.75">
      <c r="A222" s="198"/>
      <c r="B222" s="210" t="s">
        <v>561</v>
      </c>
      <c r="C222" s="211">
        <f>C38</f>
        <v>0</v>
      </c>
      <c r="D222" s="211">
        <f>D38</f>
        <v>0</v>
      </c>
      <c r="E222" s="212">
        <f>E38</f>
        <v>0.23245779800536015</v>
      </c>
      <c r="F222" s="212">
        <f>F38</f>
        <v>0.5601043536139778</v>
      </c>
      <c r="G222" s="211">
        <f>SUM(C222:F222)</f>
        <v>0.792562151619338</v>
      </c>
      <c r="I222" s="148"/>
    </row>
    <row r="223" spans="1:9" ht="47.25">
      <c r="A223" s="198"/>
      <c r="B223" s="213" t="s">
        <v>562</v>
      </c>
      <c r="C223" s="214">
        <f>C222/C221</f>
        <v>0</v>
      </c>
      <c r="D223" s="214">
        <f>D222/D221</f>
        <v>0</v>
      </c>
      <c r="E223" s="214">
        <f>E222/E221</f>
        <v>0.004150260208951328</v>
      </c>
      <c r="F223" s="214">
        <f>F222/F221</f>
        <v>0.006196946330252277</v>
      </c>
      <c r="G223" s="214">
        <f>G222/G221</f>
        <v>0.0047067659067050365</v>
      </c>
      <c r="H223" s="197" t="s">
        <v>563</v>
      </c>
      <c r="I223" s="148"/>
    </row>
    <row r="224" spans="1:9" ht="15.75">
      <c r="A224" s="198"/>
      <c r="B224" s="210" t="s">
        <v>564</v>
      </c>
      <c r="C224" s="211">
        <f>C181</f>
        <v>79.32396158499958</v>
      </c>
      <c r="D224" s="211">
        <f>D181</f>
        <v>51.642730891390244</v>
      </c>
      <c r="E224" s="211">
        <f>E181</f>
        <v>26.197978036127296</v>
      </c>
      <c r="F224" s="211">
        <f>F181</f>
        <v>24.409356775901813</v>
      </c>
      <c r="G224" s="211"/>
      <c r="H224" s="206"/>
      <c r="I224" s="148"/>
    </row>
    <row r="225" spans="1:9" ht="15.75">
      <c r="A225" s="198"/>
      <c r="B225" s="208" t="s">
        <v>154</v>
      </c>
      <c r="C225" s="201">
        <f>C224+C242</f>
        <v>51.6427308913899</v>
      </c>
      <c r="D225" s="201">
        <f>D224+D242</f>
        <v>26.19797803612724</v>
      </c>
      <c r="E225" s="201">
        <f>E224+E242</f>
        <v>24.40935677590184</v>
      </c>
      <c r="F225" s="201">
        <f>F224+F242</f>
        <v>39.0228421422384</v>
      </c>
      <c r="G225" s="215"/>
      <c r="H225" s="206"/>
      <c r="I225" s="148"/>
    </row>
    <row r="226" spans="1:9" ht="15.75">
      <c r="A226" s="198"/>
      <c r="B226" s="216" t="s">
        <v>565</v>
      </c>
      <c r="C226" s="194">
        <f>C225-D224</f>
        <v>-3.410605131648481E-13</v>
      </c>
      <c r="D226" s="194">
        <f>D225-E224</f>
        <v>-5.684341886080802E-14</v>
      </c>
      <c r="E226" s="194">
        <f>E225-F224</f>
        <v>2.842170943040401E-14</v>
      </c>
      <c r="F226" s="194"/>
      <c r="G226" s="194"/>
      <c r="H226" s="197"/>
      <c r="I226" s="148"/>
    </row>
    <row r="227" spans="1:9" ht="15.75">
      <c r="A227" s="198"/>
      <c r="B227" s="210" t="s">
        <v>566</v>
      </c>
      <c r="C227" s="211">
        <f>C161</f>
        <v>100.62336666639021</v>
      </c>
      <c r="D227" s="211">
        <f>D161</f>
        <v>285.7152471447371</v>
      </c>
      <c r="E227" s="211">
        <f>E161</f>
        <v>292.73983653777987</v>
      </c>
      <c r="F227" s="211">
        <f>F161</f>
        <v>272.90794316434176</v>
      </c>
      <c r="G227" s="217"/>
      <c r="H227" s="206"/>
      <c r="I227" s="148"/>
    </row>
    <row r="228" spans="1:9" ht="15.75">
      <c r="A228" s="198"/>
      <c r="B228" s="208" t="s">
        <v>567</v>
      </c>
      <c r="C228" s="201">
        <f>C165</f>
        <v>-100.30459736000003</v>
      </c>
      <c r="D228" s="201">
        <f>D165</f>
        <v>-288.16</v>
      </c>
      <c r="E228" s="201">
        <f>E165</f>
        <v>-239.296</v>
      </c>
      <c r="F228" s="201">
        <f>F165</f>
        <v>-139.06199999999998</v>
      </c>
      <c r="G228" s="217"/>
      <c r="H228" s="206"/>
      <c r="I228" s="148"/>
    </row>
    <row r="229" spans="1:9" ht="15.75">
      <c r="A229" s="198"/>
      <c r="B229" s="208" t="s">
        <v>568</v>
      </c>
      <c r="C229" s="201">
        <f>C172</f>
        <v>-28</v>
      </c>
      <c r="D229" s="201">
        <f>D172</f>
        <v>-23</v>
      </c>
      <c r="E229" s="201">
        <f>E172</f>
        <v>-55.232457798005356</v>
      </c>
      <c r="F229" s="201">
        <f>F172</f>
        <v>-119.23245779800537</v>
      </c>
      <c r="G229" s="217"/>
      <c r="H229" s="206"/>
      <c r="I229" s="148"/>
    </row>
    <row r="230" spans="1:9" ht="15.75">
      <c r="A230" s="198"/>
      <c r="B230" s="213" t="s">
        <v>569</v>
      </c>
      <c r="C230" s="201">
        <f>C171</f>
        <v>90</v>
      </c>
      <c r="D230" s="201">
        <f>D171</f>
        <v>23</v>
      </c>
      <c r="E230" s="201">
        <f>E171</f>
        <v>55</v>
      </c>
      <c r="F230" s="201">
        <f>F171</f>
        <v>119</v>
      </c>
      <c r="G230" s="217"/>
      <c r="H230" s="206"/>
      <c r="I230" s="148"/>
    </row>
    <row r="231" spans="1:9" ht="15.75">
      <c r="A231" s="198"/>
      <c r="B231" s="213" t="s">
        <v>570</v>
      </c>
      <c r="C231" s="201">
        <f>C55</f>
        <v>90</v>
      </c>
      <c r="D231" s="201">
        <f>D55</f>
        <v>23</v>
      </c>
      <c r="E231" s="201">
        <f>E55</f>
        <v>55</v>
      </c>
      <c r="F231" s="201">
        <f>F55</f>
        <v>119</v>
      </c>
      <c r="G231" s="217"/>
      <c r="H231" s="206"/>
      <c r="I231" s="148"/>
    </row>
    <row r="232" spans="1:9" ht="15.75">
      <c r="A232" s="198"/>
      <c r="B232" s="213" t="s">
        <v>571</v>
      </c>
      <c r="C232" s="201">
        <f>C169</f>
        <v>62</v>
      </c>
      <c r="D232" s="201">
        <f>D169</f>
        <v>0</v>
      </c>
      <c r="E232" s="201">
        <f>E169</f>
        <v>0</v>
      </c>
      <c r="F232" s="201">
        <f>F169</f>
        <v>0</v>
      </c>
      <c r="G232" s="217"/>
      <c r="H232" s="206"/>
      <c r="I232" s="148"/>
    </row>
    <row r="233" spans="1:9" ht="15.75">
      <c r="A233" s="198"/>
      <c r="B233" s="213" t="s">
        <v>570</v>
      </c>
      <c r="C233" s="201">
        <f>C50</f>
        <v>62</v>
      </c>
      <c r="D233" s="201">
        <f>D50</f>
        <v>0</v>
      </c>
      <c r="E233" s="201">
        <f>E50</f>
        <v>0</v>
      </c>
      <c r="F233" s="201">
        <f>F50</f>
        <v>0</v>
      </c>
      <c r="G233" s="190"/>
      <c r="H233" s="206"/>
      <c r="I233" s="148"/>
    </row>
    <row r="234" spans="1:9" ht="15.75">
      <c r="A234" s="198"/>
      <c r="B234" s="208" t="s">
        <v>572</v>
      </c>
      <c r="C234" s="201">
        <f>C70</f>
        <v>197</v>
      </c>
      <c r="D234" s="201">
        <f>D70</f>
        <v>174</v>
      </c>
      <c r="E234" s="201">
        <f>E70</f>
        <v>119</v>
      </c>
      <c r="F234" s="201">
        <f>F70</f>
        <v>0</v>
      </c>
      <c r="G234" s="217"/>
      <c r="H234" s="206"/>
      <c r="I234" s="148"/>
    </row>
    <row r="235" spans="1:9" ht="15.75">
      <c r="A235" s="198"/>
      <c r="B235" s="208" t="s">
        <v>573</v>
      </c>
      <c r="C235" s="201">
        <f>C69</f>
        <v>181.36294324646462</v>
      </c>
      <c r="D235" s="201">
        <f>D69</f>
        <v>260.12147852067005</v>
      </c>
      <c r="E235" s="201">
        <f>E69</f>
        <v>298.5733583868472</v>
      </c>
      <c r="F235" s="201">
        <f>F69</f>
        <v>333.1648962890168</v>
      </c>
      <c r="G235" s="215"/>
      <c r="H235" s="206"/>
      <c r="I235" s="148"/>
    </row>
    <row r="236" spans="1:9" ht="15.75">
      <c r="A236" s="198"/>
      <c r="B236" s="218" t="s">
        <v>574</v>
      </c>
      <c r="C236" s="194">
        <f>C234/C235</f>
        <v>1.0862196900514858</v>
      </c>
      <c r="D236" s="194">
        <f>D234/D235</f>
        <v>0.6689182338557769</v>
      </c>
      <c r="E236" s="194">
        <f>E234/E235</f>
        <v>0.3985620171971854</v>
      </c>
      <c r="F236" s="194">
        <f>F234/F235</f>
        <v>0</v>
      </c>
      <c r="G236" s="190"/>
      <c r="H236" s="206"/>
      <c r="I236" s="148"/>
    </row>
    <row r="237" spans="1:9" ht="15.75">
      <c r="A237" s="198"/>
      <c r="B237" s="208" t="s">
        <v>575</v>
      </c>
      <c r="C237" s="201">
        <f>C65</f>
        <v>2475.4546985041843</v>
      </c>
      <c r="D237" s="201" t="e">
        <f>#N/A</f>
        <v>#N/A</v>
      </c>
      <c r="E237" s="201" t="e">
        <f>#N/A</f>
        <v>#N/A</v>
      </c>
      <c r="F237" s="201" t="e">
        <f>#N/A</f>
        <v>#N/A</v>
      </c>
      <c r="G237" s="215"/>
      <c r="H237" s="219"/>
      <c r="I237" s="148"/>
    </row>
    <row r="238" spans="1:9" ht="15.75">
      <c r="A238" s="198"/>
      <c r="B238" s="208" t="s">
        <v>576</v>
      </c>
      <c r="C238" s="201">
        <f>C66</f>
        <v>2270.1496867404785</v>
      </c>
      <c r="D238" s="201" t="e">
        <f>#N/A</f>
        <v>#N/A</v>
      </c>
      <c r="E238" s="201" t="e">
        <f>#N/A</f>
        <v>#N/A</v>
      </c>
      <c r="F238" s="201" t="e">
        <f>#N/A</f>
        <v>#N/A</v>
      </c>
      <c r="G238" s="220"/>
      <c r="H238" s="219"/>
      <c r="I238" s="148"/>
    </row>
    <row r="239" spans="1:9" ht="15.75">
      <c r="A239" s="198"/>
      <c r="B239" s="218" t="s">
        <v>330</v>
      </c>
      <c r="C239" s="200">
        <f>C237-C238</f>
        <v>205.3050117637058</v>
      </c>
      <c r="D239" s="200" t="e">
        <f>D237-D238</f>
        <v>#N/A</v>
      </c>
      <c r="E239" s="200" t="e">
        <f>E237-E238</f>
        <v>#N/A</v>
      </c>
      <c r="F239" s="200" t="e">
        <f>F237-F238</f>
        <v>#N/A</v>
      </c>
      <c r="G239" s="190"/>
      <c r="H239" s="206"/>
      <c r="I239" s="148"/>
    </row>
    <row r="240" spans="1:9" ht="15.75">
      <c r="A240" s="198"/>
      <c r="B240" s="208" t="s">
        <v>577</v>
      </c>
      <c r="C240" s="201">
        <f>C146+C163+C167</f>
        <v>1939.006367682105</v>
      </c>
      <c r="D240" s="201">
        <f>D146+D163+D167</f>
        <v>1915.909030155856</v>
      </c>
      <c r="E240" s="201">
        <f>E146+E163+E167</f>
        <v>1948.2591186732507</v>
      </c>
      <c r="F240" s="201">
        <f>F146+F163+F167</f>
        <v>2025.269242961283</v>
      </c>
      <c r="G240" s="190"/>
      <c r="H240" s="206"/>
      <c r="I240" s="148"/>
    </row>
    <row r="241" spans="1:9" ht="15.75">
      <c r="A241" s="198"/>
      <c r="B241" s="208" t="s">
        <v>578</v>
      </c>
      <c r="C241" s="201">
        <f>C152+C164+C170</f>
        <v>1966.6875983757147</v>
      </c>
      <c r="D241" s="201">
        <f>D152+D164+D170</f>
        <v>1941.353783011119</v>
      </c>
      <c r="E241" s="201">
        <f>E152+E164+E170</f>
        <v>1950.0477399334761</v>
      </c>
      <c r="F241" s="201">
        <f>F152+F164+F170</f>
        <v>2010.6557575949464</v>
      </c>
      <c r="G241" s="190"/>
      <c r="H241" s="206"/>
      <c r="I241" s="148"/>
    </row>
    <row r="242" spans="1:9" ht="15.75">
      <c r="A242" s="198"/>
      <c r="B242" s="218" t="s">
        <v>330</v>
      </c>
      <c r="C242" s="200">
        <f>C240-C241</f>
        <v>-27.681230693609677</v>
      </c>
      <c r="D242" s="200">
        <f>D240-D241</f>
        <v>-25.444752855263005</v>
      </c>
      <c r="E242" s="200">
        <f>E240-E241</f>
        <v>-1.7886212602254545</v>
      </c>
      <c r="F242" s="200">
        <f>F240-F241</f>
        <v>14.61348536633659</v>
      </c>
      <c r="G242" s="190"/>
      <c r="H242" s="206"/>
      <c r="I242" s="148"/>
    </row>
    <row r="243" spans="1:9" ht="15.75">
      <c r="A243" s="198"/>
      <c r="B243" s="218" t="s">
        <v>579</v>
      </c>
      <c r="C243" s="194">
        <f>C242-SUM(C227:C229)</f>
        <v>1.4210854715202004E-13</v>
      </c>
      <c r="D243" s="194">
        <f>D242-SUM(D227:D229)</f>
        <v>-5.684341886080802E-14</v>
      </c>
      <c r="E243" s="194">
        <f>E242-SUM(E227:E229)</f>
        <v>2.842170943040401E-14</v>
      </c>
      <c r="F243" s="194">
        <f>F242-SUM(F227:F229)</f>
        <v>1.8474111129762605E-13</v>
      </c>
      <c r="G243" s="194"/>
      <c r="H243" s="206"/>
      <c r="I243" s="148"/>
    </row>
    <row r="244" spans="1:9" ht="15.75">
      <c r="A244" s="198"/>
      <c r="B244" s="218" t="s">
        <v>580</v>
      </c>
      <c r="C244" s="194">
        <f>C242-C239</f>
        <v>-232.98624245731548</v>
      </c>
      <c r="D244" s="194" t="e">
        <f>D242-D239</f>
        <v>#N/A</v>
      </c>
      <c r="E244" s="194" t="e">
        <f>E242-E239</f>
        <v>#N/A</v>
      </c>
      <c r="F244" s="194" t="e">
        <f>F242-F239</f>
        <v>#N/A</v>
      </c>
      <c r="G244" s="194"/>
      <c r="H244" s="206"/>
      <c r="I244" s="148"/>
    </row>
    <row r="245" spans="1:9" ht="15.75">
      <c r="A245" s="198"/>
      <c r="B245" s="218"/>
      <c r="C245" s="218"/>
      <c r="D245" s="201"/>
      <c r="E245" s="201"/>
      <c r="F245" s="201"/>
      <c r="G245" s="190"/>
      <c r="H245" s="206"/>
      <c r="I245" s="148"/>
    </row>
    <row r="246" spans="1:9" ht="15.75">
      <c r="A246" s="198"/>
      <c r="B246" s="218" t="s">
        <v>581</v>
      </c>
      <c r="C246" s="218"/>
      <c r="D246" s="208"/>
      <c r="E246" s="208"/>
      <c r="F246" s="208"/>
      <c r="G246" s="190"/>
      <c r="H246" s="206"/>
      <c r="I246" s="148"/>
    </row>
    <row r="247" spans="1:9" ht="15.75">
      <c r="A247" s="198"/>
      <c r="B247" s="221" t="s">
        <v>542</v>
      </c>
      <c r="C247" s="192">
        <v>2016</v>
      </c>
      <c r="D247" s="192">
        <v>2017</v>
      </c>
      <c r="E247" s="192">
        <v>2018</v>
      </c>
      <c r="F247" s="192">
        <v>2019</v>
      </c>
      <c r="G247" s="192" t="s">
        <v>345</v>
      </c>
      <c r="H247" s="193" t="s">
        <v>543</v>
      </c>
      <c r="I247" s="148"/>
    </row>
    <row r="248" spans="1:9" ht="17.25">
      <c r="A248" s="198"/>
      <c r="B248" s="222" t="s">
        <v>582</v>
      </c>
      <c r="C248" s="223">
        <f>C220+C221-C260</f>
        <v>180.83564077618107</v>
      </c>
      <c r="D248" s="223">
        <f>D220+D221-D222</f>
        <v>271.68985915890005</v>
      </c>
      <c r="E248" s="223">
        <f>E220+E221-E222</f>
        <v>304.876509529832</v>
      </c>
      <c r="F248" s="223">
        <f>F220+F221-F222</f>
        <v>337.3351506961526</v>
      </c>
      <c r="G248" s="215">
        <f>SUM(C248:F248)</f>
        <v>1094.7371601610657</v>
      </c>
      <c r="H248" s="206"/>
      <c r="I248" s="148"/>
    </row>
    <row r="249" spans="1:9" ht="15.75">
      <c r="A249" s="198"/>
      <c r="B249" s="208" t="s">
        <v>583</v>
      </c>
      <c r="C249" s="201">
        <f>C220+C221-C260</f>
        <v>180.83564077618107</v>
      </c>
      <c r="D249" s="201">
        <f>D220+0.75*D221</f>
        <v>265.87841685942504</v>
      </c>
      <c r="E249" s="201">
        <f>E220+0.75*E221</f>
        <v>291.10636349687803</v>
      </c>
      <c r="F249" s="201">
        <f>F220+0.75*F221</f>
        <v>315.2992729416249</v>
      </c>
      <c r="G249" s="215" t="e">
        <f>#N/A</f>
        <v>#N/A</v>
      </c>
      <c r="H249" s="206"/>
      <c r="I249" s="148"/>
    </row>
    <row r="250" spans="1:9" ht="17.25">
      <c r="A250" s="198"/>
      <c r="B250" s="222" t="s">
        <v>584</v>
      </c>
      <c r="C250" s="223">
        <f>C224+C227-C260</f>
        <v>179.9473282513898</v>
      </c>
      <c r="D250" s="223">
        <f>D224+D227-C222</f>
        <v>337.3579780361273</v>
      </c>
      <c r="E250" s="223">
        <f>E224+E227-D222</f>
        <v>318.9378145739072</v>
      </c>
      <c r="F250" s="223">
        <f>F224+F227-E222</f>
        <v>297.0848421422382</v>
      </c>
      <c r="G250" s="215" t="e">
        <f>#N/A</f>
        <v>#N/A</v>
      </c>
      <c r="H250" s="206"/>
      <c r="I250" s="148"/>
    </row>
    <row r="251" spans="1:9" ht="15.75">
      <c r="A251" s="198"/>
      <c r="B251" s="208" t="s">
        <v>585</v>
      </c>
      <c r="C251" s="201">
        <f>C224+C227-C260</f>
        <v>179.9473282513898</v>
      </c>
      <c r="D251" s="201">
        <f>D224+D227-C221*0.25</f>
        <v>337.671045892082</v>
      </c>
      <c r="E251" s="201">
        <f>E224+E227-D221*0.25</f>
        <v>313.1263722744322</v>
      </c>
      <c r="F251" s="201">
        <f>F224+F227-E221*0.25</f>
        <v>283.3146961092842</v>
      </c>
      <c r="G251" s="215" t="e">
        <f>#N/A</f>
        <v>#N/A</v>
      </c>
      <c r="H251" s="206"/>
      <c r="I251" s="148"/>
    </row>
    <row r="252" spans="1:9" ht="15.75">
      <c r="A252" s="198"/>
      <c r="B252" s="224" t="s">
        <v>586</v>
      </c>
      <c r="C252" s="225">
        <f>C250-C251</f>
        <v>0</v>
      </c>
      <c r="D252" s="225">
        <f>D250-D251</f>
        <v>-0.31306785595472775</v>
      </c>
      <c r="E252" s="225">
        <f>E250-E251</f>
        <v>5.811442299475004</v>
      </c>
      <c r="F252" s="225">
        <f>F250-F251</f>
        <v>13.77014603295396</v>
      </c>
      <c r="G252" s="215" t="e">
        <f>#N/A</f>
        <v>#N/A</v>
      </c>
      <c r="H252" s="206"/>
      <c r="I252" s="148"/>
    </row>
    <row r="253" spans="1:9" ht="17.25">
      <c r="A253" s="198"/>
      <c r="B253" s="222" t="s">
        <v>587</v>
      </c>
      <c r="C253" s="223">
        <f>C224+C227-C260-(C230-C231)+(C232-C233)</f>
        <v>179.9473282513898</v>
      </c>
      <c r="D253" s="223">
        <f>D224+D227-C222-(D230-D231)+(D232-D233)</f>
        <v>337.3579780361273</v>
      </c>
      <c r="E253" s="223">
        <f>E224+E227-D222-(E230-E231)+(E232-E233)</f>
        <v>318.9378145739072</v>
      </c>
      <c r="F253" s="223">
        <f>F224+F227-E222-(F230-F231)+(F232-F233)</f>
        <v>297.0848421422382</v>
      </c>
      <c r="G253" s="215" t="e">
        <f>#N/A</f>
        <v>#N/A</v>
      </c>
      <c r="H253" s="206"/>
      <c r="I253" s="148"/>
    </row>
    <row r="254" spans="1:9" ht="18.75">
      <c r="A254" s="198"/>
      <c r="B254" s="226" t="s">
        <v>585</v>
      </c>
      <c r="C254" s="227">
        <f>C224+C227-C260-(C230-C231)+(C232-C233)</f>
        <v>179.9473282513898</v>
      </c>
      <c r="D254" s="227">
        <f>D224+D227-0.25*C221-(D230-D231)+(D232-D233)</f>
        <v>337.671045892082</v>
      </c>
      <c r="E254" s="227">
        <f>E224+E227-0.25*D221-(E230-E231)+(E232-E233)</f>
        <v>313.1263722744322</v>
      </c>
      <c r="F254" s="227">
        <f>F224+F227-0.25*E221-(F230-F231)+(F232-F233)</f>
        <v>283.3146961092842</v>
      </c>
      <c r="G254" s="215" t="e">
        <f>#N/A</f>
        <v>#N/A</v>
      </c>
      <c r="H254" s="148"/>
      <c r="I254" s="148"/>
    </row>
    <row r="255" spans="1:9" ht="15.75">
      <c r="A255" s="198"/>
      <c r="B255" s="224" t="s">
        <v>586</v>
      </c>
      <c r="C255" s="225">
        <f>C253-C250</f>
        <v>0</v>
      </c>
      <c r="D255" s="225">
        <f>D253-D250</f>
        <v>0</v>
      </c>
      <c r="E255" s="225">
        <f>E253-E250</f>
        <v>0</v>
      </c>
      <c r="F255" s="225">
        <f>F253-F250</f>
        <v>0</v>
      </c>
      <c r="G255" s="215" t="e">
        <f>#N/A</f>
        <v>#N/A</v>
      </c>
      <c r="H255" s="206"/>
      <c r="I255" s="148"/>
    </row>
    <row r="256" spans="1:9" ht="17.25">
      <c r="A256" s="188"/>
      <c r="B256" s="222" t="s">
        <v>588</v>
      </c>
      <c r="C256" s="223">
        <f>MAX(C253,C248)</f>
        <v>180.83564077618107</v>
      </c>
      <c r="D256" s="223">
        <f>MAX(D253,D248)</f>
        <v>337.3579780361273</v>
      </c>
      <c r="E256" s="223">
        <f>MAX(E253,E248)</f>
        <v>318.9378145739072</v>
      </c>
      <c r="F256" s="223">
        <f>MAX(F253,F248)</f>
        <v>337.3351506961526</v>
      </c>
      <c r="G256" s="215" t="e">
        <f>#N/A</f>
        <v>#N/A</v>
      </c>
      <c r="H256" s="206"/>
      <c r="I256" s="148"/>
    </row>
    <row r="257" spans="1:9" ht="15.75">
      <c r="A257" s="188"/>
      <c r="B257" s="208" t="s">
        <v>589</v>
      </c>
      <c r="C257" s="201">
        <f>MAX(C251,C249)</f>
        <v>180.83564077618107</v>
      </c>
      <c r="D257" s="201">
        <f>MAX(D251,D249)</f>
        <v>337.671045892082</v>
      </c>
      <c r="E257" s="201">
        <f>MAX(E251,E249)</f>
        <v>313.1263722744322</v>
      </c>
      <c r="F257" s="201">
        <f>MAX(F251,F249)</f>
        <v>315.2992729416249</v>
      </c>
      <c r="G257" s="215" t="e">
        <f>#N/A</f>
        <v>#N/A</v>
      </c>
      <c r="H257" s="206"/>
      <c r="I257" s="148"/>
    </row>
    <row r="258" spans="1:9" ht="15.75">
      <c r="A258" s="188"/>
      <c r="B258" s="208"/>
      <c r="C258" s="201"/>
      <c r="D258" s="201"/>
      <c r="E258" s="201"/>
      <c r="F258" s="201"/>
      <c r="G258" s="215" t="e">
        <f>#N/A</f>
        <v>#N/A</v>
      </c>
      <c r="H258" s="191"/>
      <c r="I258" s="148"/>
    </row>
    <row r="259" spans="1:9" ht="15.75">
      <c r="A259" s="188"/>
      <c r="B259" s="218" t="s">
        <v>590</v>
      </c>
      <c r="C259" s="200">
        <f>MAX(0,3-C236)*C235</f>
        <v>347.0888297393939</v>
      </c>
      <c r="D259" s="200">
        <f>MAX(0,3-D236)*D235</f>
        <v>606.36443556201</v>
      </c>
      <c r="E259" s="200">
        <f>MAX(0,3-E236)*E235</f>
        <v>776.7200751605416</v>
      </c>
      <c r="F259" s="200">
        <f>MAX(0,3-F236)*F235</f>
        <v>999.4946888670504</v>
      </c>
      <c r="G259" s="215" t="e">
        <f>#N/A</f>
        <v>#N/A</v>
      </c>
      <c r="H259" s="191"/>
      <c r="I259" s="148"/>
    </row>
    <row r="260" spans="1:9" ht="15.75">
      <c r="A260" s="188"/>
      <c r="B260" s="213" t="s">
        <v>591</v>
      </c>
      <c r="C260" s="213">
        <v>0</v>
      </c>
      <c r="D260" s="228"/>
      <c r="E260" s="208"/>
      <c r="F260" s="205"/>
      <c r="G260" s="205"/>
      <c r="H260" s="191"/>
      <c r="I260" s="148"/>
    </row>
    <row r="261" spans="1:9" ht="15.75">
      <c r="A261" s="188"/>
      <c r="B261" s="229" t="s">
        <v>592</v>
      </c>
      <c r="C261" s="230" t="s">
        <v>593</v>
      </c>
      <c r="D261" s="230"/>
      <c r="E261" s="205"/>
      <c r="F261" s="205"/>
      <c r="G261" s="205"/>
      <c r="H261" s="191"/>
      <c r="I261" s="148"/>
    </row>
    <row r="262" spans="1:9" ht="15.75">
      <c r="A262" s="188"/>
      <c r="B262" s="205"/>
      <c r="C262" s="205"/>
      <c r="D262" s="205"/>
      <c r="E262" s="205"/>
      <c r="F262" s="205"/>
      <c r="G262" s="205"/>
      <c r="H262" s="191"/>
      <c r="I262" s="148"/>
    </row>
    <row r="263" spans="1:9" ht="15.75">
      <c r="A263" s="188"/>
      <c r="B263" s="189" t="s">
        <v>594</v>
      </c>
      <c r="C263" s="189"/>
      <c r="D263" s="190"/>
      <c r="E263" s="190"/>
      <c r="F263" s="190"/>
      <c r="G263" s="190"/>
      <c r="H263" s="191"/>
      <c r="I263" s="148"/>
    </row>
    <row r="264" spans="1:9" ht="15.75">
      <c r="A264" s="188"/>
      <c r="B264" s="192" t="s">
        <v>542</v>
      </c>
      <c r="C264" s="192">
        <v>2016</v>
      </c>
      <c r="D264" s="192">
        <v>2017</v>
      </c>
      <c r="E264" s="192">
        <v>2018</v>
      </c>
      <c r="F264" s="192">
        <v>2019</v>
      </c>
      <c r="G264" s="192" t="s">
        <v>345</v>
      </c>
      <c r="H264" s="193" t="s">
        <v>543</v>
      </c>
      <c r="I264" s="148"/>
    </row>
    <row r="265" spans="1:9" ht="45">
      <c r="A265" s="188"/>
      <c r="B265" s="222" t="s">
        <v>595</v>
      </c>
      <c r="C265" s="231">
        <f>C75</f>
        <v>253.26511816</v>
      </c>
      <c r="D265" s="231" t="e">
        <f>#N/A</f>
        <v>#N/A</v>
      </c>
      <c r="E265" s="231" t="e">
        <f>#N/A</f>
        <v>#N/A</v>
      </c>
      <c r="F265" s="231" t="e">
        <f>#N/A</f>
        <v>#N/A</v>
      </c>
      <c r="G265" s="215" t="e">
        <f>SUM(C265:F265)</f>
        <v>#N/A</v>
      </c>
      <c r="H265" s="232" t="s">
        <v>596</v>
      </c>
      <c r="I265" s="148"/>
    </row>
    <row r="266" spans="1:9" ht="15.75">
      <c r="A266" s="188"/>
      <c r="B266" s="233" t="s">
        <v>597</v>
      </c>
      <c r="C266" s="234">
        <f>C76</f>
        <v>191.26511816</v>
      </c>
      <c r="D266" s="234" t="e">
        <f>#N/A</f>
        <v>#N/A</v>
      </c>
      <c r="E266" s="234" t="e">
        <f>#N/A</f>
        <v>#N/A</v>
      </c>
      <c r="F266" s="234" t="e">
        <f>#N/A</f>
        <v>#N/A</v>
      </c>
      <c r="G266" s="215" t="e">
        <f>SUM(C266:F266)</f>
        <v>#N/A</v>
      </c>
      <c r="H266" s="191"/>
      <c r="I266" s="148"/>
    </row>
    <row r="267" spans="1:9" ht="15.75">
      <c r="A267" s="188"/>
      <c r="B267" s="213" t="s">
        <v>598</v>
      </c>
      <c r="C267" s="235">
        <f>C86</f>
        <v>146.50517983050847</v>
      </c>
      <c r="D267" s="235">
        <f>D86</f>
        <v>210.55183895000002</v>
      </c>
      <c r="E267" s="235">
        <f>E86</f>
        <v>202.79312056779702</v>
      </c>
      <c r="F267" s="235">
        <f>F86</f>
        <v>117.84736340231338</v>
      </c>
      <c r="G267" s="215">
        <f>SUM(C267:F267)</f>
        <v>677.6975027506188</v>
      </c>
      <c r="H267" s="191"/>
      <c r="I267" s="148"/>
    </row>
    <row r="268" spans="1:9" ht="15.75">
      <c r="A268" s="188"/>
      <c r="B268" s="233" t="s">
        <v>599</v>
      </c>
      <c r="C268" s="234">
        <f>C94</f>
        <v>62</v>
      </c>
      <c r="D268" s="234" t="e">
        <f>#N/A</f>
        <v>#N/A</v>
      </c>
      <c r="E268" s="234" t="e">
        <f>#N/A</f>
        <v>#N/A</v>
      </c>
      <c r="F268" s="234" t="e">
        <f>#N/A</f>
        <v>#N/A</v>
      </c>
      <c r="G268" s="215" t="e">
        <f>SUM(C268:F268)</f>
        <v>#N/A</v>
      </c>
      <c r="H268" s="191"/>
      <c r="I268" s="148"/>
    </row>
    <row r="269" spans="1:9" ht="15.75">
      <c r="A269" s="188"/>
      <c r="B269" s="213" t="s">
        <v>600</v>
      </c>
      <c r="C269" s="234">
        <f>C95</f>
        <v>62</v>
      </c>
      <c r="D269" s="234" t="e">
        <f>#N/A</f>
        <v>#N/A</v>
      </c>
      <c r="E269" s="234" t="e">
        <f>#N/A</f>
        <v>#N/A</v>
      </c>
      <c r="F269" s="234" t="e">
        <f>#N/A</f>
        <v>#N/A</v>
      </c>
      <c r="G269" s="215" t="e">
        <f>SUM(C269:F269)</f>
        <v>#N/A</v>
      </c>
      <c r="H269" s="191"/>
      <c r="I269" s="148"/>
    </row>
    <row r="270" spans="1:9" ht="15.75">
      <c r="A270" s="188"/>
      <c r="B270" s="208" t="s">
        <v>601</v>
      </c>
      <c r="C270" s="236">
        <f>C266/C265</f>
        <v>0.7551972397524102</v>
      </c>
      <c r="D270" s="236" t="e">
        <f>D266/D265</f>
        <v>#N/A</v>
      </c>
      <c r="E270" s="236" t="e">
        <f>E266/E265</f>
        <v>#N/A</v>
      </c>
      <c r="F270" s="236" t="e">
        <f>F266/F265</f>
        <v>#N/A</v>
      </c>
      <c r="G270" s="236" t="e">
        <f>G266/G265</f>
        <v>#N/A</v>
      </c>
      <c r="H270" s="191"/>
      <c r="I270" s="148"/>
    </row>
    <row r="271" spans="1:9" ht="15.75">
      <c r="A271" s="188"/>
      <c r="B271" s="208" t="s">
        <v>602</v>
      </c>
      <c r="C271" s="236">
        <f>C268/C265</f>
        <v>0.24480276024758987</v>
      </c>
      <c r="D271" s="236" t="e">
        <f>D268/D265</f>
        <v>#N/A</v>
      </c>
      <c r="E271" s="236" t="e">
        <f>E268/E265</f>
        <v>#N/A</v>
      </c>
      <c r="F271" s="236" t="e">
        <f>F268/F265</f>
        <v>#N/A</v>
      </c>
      <c r="G271" s="236" t="e">
        <f>G268/G265</f>
        <v>#N/A</v>
      </c>
      <c r="H271" s="191"/>
      <c r="I271" s="148"/>
    </row>
    <row r="272" spans="1:9" ht="15.75">
      <c r="A272" s="188"/>
      <c r="B272" s="208"/>
      <c r="C272" s="190"/>
      <c r="D272" s="190"/>
      <c r="E272" s="190"/>
      <c r="F272" s="190"/>
      <c r="G272" s="237"/>
      <c r="H272" s="191"/>
      <c r="I272" s="148"/>
    </row>
    <row r="273" spans="1:9" ht="45">
      <c r="A273" s="188"/>
      <c r="B273" s="218" t="s">
        <v>603</v>
      </c>
      <c r="C273" s="238">
        <v>257.17</v>
      </c>
      <c r="D273" s="238">
        <v>222.11</v>
      </c>
      <c r="E273" s="238">
        <v>228.37</v>
      </c>
      <c r="F273" s="187"/>
      <c r="G273" s="239">
        <f>SUM(C273:E273)</f>
        <v>707.6500000000001</v>
      </c>
      <c r="H273" s="232" t="s">
        <v>604</v>
      </c>
      <c r="I273" s="148"/>
    </row>
    <row r="274" spans="1:9" ht="15.75">
      <c r="A274" s="188"/>
      <c r="B274" s="208" t="s">
        <v>605</v>
      </c>
      <c r="C274" s="240">
        <f>C265-C273</f>
        <v>-3.90488184000003</v>
      </c>
      <c r="D274" s="240" t="e">
        <f>D265-D273</f>
        <v>#N/A</v>
      </c>
      <c r="E274" s="240" t="e">
        <f>E265-E273</f>
        <v>#N/A</v>
      </c>
      <c r="F274" s="240"/>
      <c r="G274" s="239" t="e">
        <f>SUM(D274:F274)</f>
        <v>#N/A</v>
      </c>
      <c r="H274" s="191"/>
      <c r="I274" s="148"/>
    </row>
    <row r="275" spans="1:9" ht="15.75">
      <c r="A275" s="188"/>
      <c r="B275" s="208" t="s">
        <v>605</v>
      </c>
      <c r="C275" s="236">
        <f>C265/C273-1</f>
        <v>-0.015184048839289255</v>
      </c>
      <c r="D275" s="236" t="e">
        <f>D265/D273-1</f>
        <v>#N/A</v>
      </c>
      <c r="E275" s="236" t="e">
        <f>E265/E273-1</f>
        <v>#N/A</v>
      </c>
      <c r="F275" s="236"/>
      <c r="G275" s="241" t="e">
        <f>SUM(C265:E265)/SUM(C273:E273)</f>
        <v>#N/A</v>
      </c>
      <c r="H275" s="191"/>
      <c r="I275" s="148"/>
    </row>
    <row r="276" spans="1:9" ht="15.75">
      <c r="A276" s="188"/>
      <c r="B276" s="190"/>
      <c r="C276" s="242">
        <f>C269-C233</f>
        <v>0</v>
      </c>
      <c r="D276" s="242" t="e">
        <f>D269-D233</f>
        <v>#N/A</v>
      </c>
      <c r="E276" s="242" t="e">
        <f>E269-E233</f>
        <v>#N/A</v>
      </c>
      <c r="F276" s="242" t="e">
        <f>F269-F233</f>
        <v>#N/A</v>
      </c>
      <c r="G276" s="190"/>
      <c r="H276" s="191"/>
      <c r="I276" s="148"/>
    </row>
    <row r="277" spans="1:9" ht="47.25">
      <c r="A277" s="188"/>
      <c r="B277" s="243" t="s">
        <v>606</v>
      </c>
      <c r="C277" s="242">
        <f>C267-C248</f>
        <v>-34.3304609456726</v>
      </c>
      <c r="D277" s="242">
        <f>D267-D248</f>
        <v>-61.13802020890003</v>
      </c>
      <c r="E277" s="242">
        <f>E267-E248</f>
        <v>-102.08338896203497</v>
      </c>
      <c r="F277" s="242">
        <f>F267-F248</f>
        <v>-219.48778729383923</v>
      </c>
      <c r="G277" s="190"/>
      <c r="H277" s="244" t="s">
        <v>607</v>
      </c>
      <c r="I277" s="148"/>
    </row>
    <row r="278" spans="1:9" ht="15.75">
      <c r="A278" s="245"/>
      <c r="B278" s="208" t="s">
        <v>608</v>
      </c>
      <c r="C278" s="201">
        <f>C267-C220</f>
        <v>-35.58273236949148</v>
      </c>
      <c r="D278" s="201">
        <f>D267-D220</f>
        <v>-37.892251010999985</v>
      </c>
      <c r="E278" s="201">
        <f>E267-E220</f>
        <v>-46.30543143620295</v>
      </c>
      <c r="F278" s="201">
        <f>F267-F220</f>
        <v>-129.66396321488662</v>
      </c>
      <c r="G278" s="190"/>
      <c r="H278" s="191"/>
      <c r="I278" s="148"/>
    </row>
    <row r="279" spans="1:9" ht="270">
      <c r="A279" s="245"/>
      <c r="B279" s="243" t="s">
        <v>609</v>
      </c>
      <c r="C279" s="242">
        <f>C266-C254</f>
        <v>11.317789908610195</v>
      </c>
      <c r="D279" s="242" t="e">
        <f>D266-D254</f>
        <v>#N/A</v>
      </c>
      <c r="E279" s="242" t="e">
        <f>E266-E254</f>
        <v>#N/A</v>
      </c>
      <c r="F279" s="242" t="e">
        <f>F266-F254</f>
        <v>#N/A</v>
      </c>
      <c r="G279" s="190"/>
      <c r="H279" s="206" t="s">
        <v>610</v>
      </c>
      <c r="I279" s="165"/>
    </row>
    <row r="280" spans="1:9" ht="31.5">
      <c r="A280" s="245"/>
      <c r="B280" s="243" t="s">
        <v>611</v>
      </c>
      <c r="C280" s="242">
        <f>C266-C256</f>
        <v>10.42947738381892</v>
      </c>
      <c r="D280" s="242" t="e">
        <f>D266-D256</f>
        <v>#N/A</v>
      </c>
      <c r="E280" s="242" t="e">
        <f>E266-E256</f>
        <v>#N/A</v>
      </c>
      <c r="F280" s="242" t="e">
        <f>F266-F256</f>
        <v>#N/A</v>
      </c>
      <c r="G280" s="190"/>
      <c r="H280" s="191"/>
      <c r="I280" s="148"/>
    </row>
    <row r="281" spans="1:9" ht="15.75">
      <c r="A281" s="245"/>
      <c r="B281" s="190"/>
      <c r="C281" s="190"/>
      <c r="D281" s="190"/>
      <c r="E281" s="190"/>
      <c r="F281" s="190"/>
      <c r="G281" s="190"/>
      <c r="H281" s="191"/>
      <c r="I281" s="148"/>
    </row>
    <row r="282" spans="1:9" ht="15.75">
      <c r="A282" s="245"/>
      <c r="B282" s="191"/>
      <c r="C282" s="191"/>
      <c r="D282" s="191"/>
      <c r="E282" s="191"/>
      <c r="F282" s="191"/>
      <c r="G282" s="191"/>
      <c r="H282" s="191"/>
      <c r="I282" s="148"/>
    </row>
    <row r="283" spans="1:9" ht="15.75">
      <c r="A283" s="245"/>
      <c r="B283" s="190"/>
      <c r="C283" s="190"/>
      <c r="D283" s="190"/>
      <c r="E283" s="190"/>
      <c r="F283" s="190"/>
      <c r="G283" s="190"/>
      <c r="H283" s="191"/>
      <c r="I283" s="148"/>
    </row>
    <row r="284" spans="1:9" ht="15.75">
      <c r="A284" s="245"/>
      <c r="B284" s="189" t="s">
        <v>612</v>
      </c>
      <c r="C284" s="189"/>
      <c r="D284" s="190"/>
      <c r="E284" s="190"/>
      <c r="F284" s="190"/>
      <c r="G284" s="190"/>
      <c r="H284" s="191"/>
      <c r="I284" s="148"/>
    </row>
    <row r="285" spans="1:9" ht="15.75">
      <c r="A285" s="245"/>
      <c r="B285" s="192"/>
      <c r="C285" s="192">
        <v>2016</v>
      </c>
      <c r="D285" s="192">
        <v>2017</v>
      </c>
      <c r="E285" s="192">
        <v>2018</v>
      </c>
      <c r="F285" s="192">
        <v>2019</v>
      </c>
      <c r="G285" s="192" t="s">
        <v>345</v>
      </c>
      <c r="H285" s="193" t="s">
        <v>543</v>
      </c>
      <c r="I285" s="148"/>
    </row>
    <row r="286" spans="1:9" ht="15.75">
      <c r="A286" s="245"/>
      <c r="B286" s="190" t="s">
        <v>613</v>
      </c>
      <c r="C286" s="190"/>
      <c r="D286" s="246">
        <f>D4/C4-1</f>
        <v>0.06930306863711078</v>
      </c>
      <c r="E286" s="246">
        <f>E4/D4-1</f>
        <v>0.007866679885090822</v>
      </c>
      <c r="F286" s="246">
        <f>F4/E4-1</f>
        <v>0.040254511562506146</v>
      </c>
      <c r="G286" s="190"/>
      <c r="H286" s="452" t="s">
        <v>614</v>
      </c>
      <c r="I286" s="148"/>
    </row>
    <row r="287" spans="1:9" ht="15.75">
      <c r="A287" s="245"/>
      <c r="B287" s="190" t="s">
        <v>615</v>
      </c>
      <c r="C287" s="190"/>
      <c r="D287" s="246" t="e">
        <f>#N/A</f>
        <v>#N/A</v>
      </c>
      <c r="E287" s="246" t="e">
        <f>#N/A</f>
        <v>#N/A</v>
      </c>
      <c r="F287" s="246" t="e">
        <f>#N/A</f>
        <v>#N/A</v>
      </c>
      <c r="G287" s="190"/>
      <c r="H287" s="452"/>
      <c r="I287" s="148"/>
    </row>
    <row r="288" spans="1:9" ht="15.75">
      <c r="A288" s="245"/>
      <c r="B288" s="190" t="s">
        <v>616</v>
      </c>
      <c r="C288" s="190"/>
      <c r="D288" s="246" t="e">
        <f>#N/A</f>
        <v>#N/A</v>
      </c>
      <c r="E288" s="246" t="e">
        <f>#N/A</f>
        <v>#N/A</v>
      </c>
      <c r="F288" s="246" t="e">
        <f>#N/A</f>
        <v>#N/A</v>
      </c>
      <c r="G288" s="190"/>
      <c r="H288" s="452"/>
      <c r="I288" s="148"/>
    </row>
    <row r="289" spans="1:9" ht="15.75">
      <c r="A289" s="245"/>
      <c r="B289" s="247" t="s">
        <v>617</v>
      </c>
      <c r="C289" s="190"/>
      <c r="D289" s="246">
        <f>D13/C13-1</f>
        <v>0.09071208243582007</v>
      </c>
      <c r="E289" s="246">
        <f>E13/D13-1</f>
        <v>0.08197117212163096</v>
      </c>
      <c r="F289" s="246">
        <f>F13/E13-1</f>
        <v>0.0810326464568143</v>
      </c>
      <c r="G289" s="190"/>
      <c r="H289" s="452"/>
      <c r="I289" s="148"/>
    </row>
    <row r="290" spans="1:9" ht="15.75">
      <c r="A290" s="245"/>
      <c r="B290" s="247" t="s">
        <v>399</v>
      </c>
      <c r="C290" s="190"/>
      <c r="D290" s="246">
        <f>D11/C11-1</f>
        <v>0.03412217007642315</v>
      </c>
      <c r="E290" s="246">
        <f>E11/D11-1</f>
        <v>0.034146766827442</v>
      </c>
      <c r="F290" s="246">
        <f>F11/E11-1</f>
        <v>0.03701151897186339</v>
      </c>
      <c r="G290" s="190"/>
      <c r="H290" s="452"/>
      <c r="I290" s="148"/>
    </row>
    <row r="291" spans="1:9" ht="15.75">
      <c r="A291" s="245"/>
      <c r="B291" s="190" t="s">
        <v>618</v>
      </c>
      <c r="C291" s="190"/>
      <c r="D291" s="246">
        <f>D14/C14-1</f>
        <v>0.038000000000000034</v>
      </c>
      <c r="E291" s="246">
        <f>E14/D14-1</f>
        <v>0.04499999999999993</v>
      </c>
      <c r="F291" s="246">
        <f>F14/E14-1</f>
        <v>0.05500000000000016</v>
      </c>
      <c r="G291" s="190"/>
      <c r="H291" s="452"/>
      <c r="I291" s="148"/>
    </row>
    <row r="292" spans="1:9" ht="15.75">
      <c r="A292" s="245"/>
      <c r="B292" s="208" t="s">
        <v>619</v>
      </c>
      <c r="C292" s="248">
        <f>C40/C4</f>
        <v>0.02934352811871849</v>
      </c>
      <c r="D292" s="248">
        <f>D40/D4</f>
        <v>0.015841588630601124</v>
      </c>
      <c r="E292" s="248">
        <f>E40/E4</f>
        <v>0.01321500305700974</v>
      </c>
      <c r="F292" s="248">
        <f>F40/F4</f>
        <v>0.029864796921235438</v>
      </c>
      <c r="G292" s="190"/>
      <c r="H292" s="249"/>
      <c r="I292" s="148"/>
    </row>
    <row r="293" spans="1:9" ht="63">
      <c r="A293" s="245"/>
      <c r="B293" s="208"/>
      <c r="C293" s="208"/>
      <c r="D293" s="250"/>
      <c r="E293" s="250"/>
      <c r="F293" s="250"/>
      <c r="G293" s="190"/>
      <c r="H293" s="251" t="s">
        <v>620</v>
      </c>
      <c r="I293" s="148"/>
    </row>
    <row r="294" spans="1:9" ht="15.75">
      <c r="A294" s="245"/>
      <c r="B294" s="190"/>
      <c r="C294" s="190"/>
      <c r="D294" s="190"/>
      <c r="E294" s="190"/>
      <c r="F294" s="190"/>
      <c r="G294" s="190"/>
      <c r="H294" s="252"/>
      <c r="I294" s="148"/>
    </row>
  </sheetData>
  <sheetProtection/>
  <mergeCells count="6">
    <mergeCell ref="H204:H207"/>
    <mergeCell ref="H286:H291"/>
    <mergeCell ref="A1:G1"/>
    <mergeCell ref="A72:G73"/>
    <mergeCell ref="A122:G123"/>
    <mergeCell ref="H198:H199"/>
  </mergeCells>
  <conditionalFormatting sqref="C191:G192 H200 D245:F245 C226:G226 C255:F255 G196:G200 C252:F252 C197:F200 C204:G210 C214:G216">
    <cfRule type="cellIs" priority="13" dxfId="8" operator="lessThan">
      <formula>0</formula>
    </cfRule>
    <cfRule type="cellIs" priority="14" dxfId="8" operator="greaterThan">
      <formula>0</formula>
    </cfRule>
  </conditionalFormatting>
  <conditionalFormatting sqref="C223:G223">
    <cfRule type="cellIs" priority="11" dxfId="9" operator="greaterThan">
      <formula>0.25</formula>
    </cfRule>
    <cfRule type="cellIs" priority="12" dxfId="8" operator="lessThan">
      <formula>0.25</formula>
    </cfRule>
  </conditionalFormatting>
  <conditionalFormatting sqref="C259:F259">
    <cfRule type="cellIs" priority="10" dxfId="10" operator="greaterThan">
      <formula>0</formula>
    </cfRule>
  </conditionalFormatting>
  <conditionalFormatting sqref="C279:F280 C276:F277">
    <cfRule type="cellIs" priority="9" dxfId="8" operator="lessThan">
      <formula>0</formula>
    </cfRule>
  </conditionalFormatting>
  <conditionalFormatting sqref="C243:G244">
    <cfRule type="cellIs" priority="1" dxfId="8" operator="lessThan">
      <formula>0</formula>
    </cfRule>
    <cfRule type="cellIs" priority="2" dxfId="8" operator="greaterThan">
      <formula>0</formula>
    </cfRule>
  </conditionalFormatting>
  <conditionalFormatting sqref="C270:G271">
    <cfRule type="dataBar" priority="8" dxfId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{c965b550-d926-415f-b20b-b4c4fe44e007}</x14:id>
        </ext>
      </extLst>
    </cfRule>
  </conditionalFormatting>
  <conditionalFormatting sqref="D292:F293 C292">
    <cfRule type="colorScale" priority="7" dxfId="1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5" dxfId="11">
      <colorScale>
        <cfvo type="min" val="0"/>
        <cfvo type="max"/>
        <color rgb="FFFFEF9C"/>
        <color rgb="FFFF7128"/>
      </colorScale>
    </cfRule>
    <cfRule type="colorScale" priority="6" dxfId="1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292:F292">
    <cfRule type="colorScale" priority="4" dxfId="11">
      <colorScale>
        <cfvo type="min" val="0"/>
        <cfvo type="max"/>
        <color rgb="FF63BE7B"/>
        <color rgb="FFFFEF9C"/>
      </colorScale>
    </cfRule>
  </conditionalFormatting>
  <conditionalFormatting sqref="D286:F291">
    <cfRule type="dataBar" priority="3" dxfId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{e07edb60-51cd-44ef-b649-b4bafe2d5398}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65b550-d926-415f-b20b-b4c4fe44e0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C270:G271</xm:sqref>
        </x14:conditionalFormatting>
        <x14:conditionalFormatting xmlns:xm="http://schemas.microsoft.com/office/excel/2006/main">
          <x14:cfRule type="dataBar" id="{e07edb60-51cd-44ef-b649-b4bafe2d53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D286:F291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461"/>
  <sheetViews>
    <sheetView tabSelected="1" view="pageBreakPreview" zoomScale="85" zoomScaleNormal="85" zoomScaleSheetLayoutView="85" zoomScalePageLayoutView="0" workbookViewId="0" topLeftCell="A1">
      <selection activeCell="H401" sqref="H401:H408"/>
    </sheetView>
  </sheetViews>
  <sheetFormatPr defaultColWidth="10.28125" defaultRowHeight="15"/>
  <cols>
    <col min="1" max="1" width="10.140625" style="308" customWidth="1"/>
    <col min="2" max="2" width="94.57421875" style="309" customWidth="1"/>
    <col min="3" max="3" width="16.28125" style="310" customWidth="1"/>
    <col min="4" max="4" width="15.140625" style="298" customWidth="1"/>
    <col min="5" max="6" width="14.00390625" style="311" customWidth="1"/>
    <col min="7" max="7" width="13.8515625" style="312" customWidth="1"/>
    <col min="8" max="8" width="14.7109375" style="272" customWidth="1"/>
    <col min="9" max="10" width="14.00390625" style="272" customWidth="1"/>
    <col min="11" max="11" width="20.140625" style="272" customWidth="1"/>
    <col min="12" max="14" width="15.8515625" style="272" customWidth="1"/>
    <col min="15" max="16384" width="10.28125" style="272" customWidth="1"/>
  </cols>
  <sheetData>
    <row r="1" ht="18.75"/>
    <row r="2" ht="18.75"/>
    <row r="3" ht="18.75"/>
    <row r="4" ht="18.75"/>
    <row r="5" ht="18.75"/>
    <row r="6" spans="1:11" ht="15.75">
      <c r="A6" s="457" t="s">
        <v>139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5.75">
      <c r="A7" s="457"/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ht="18.75"/>
    <row r="9" spans="1:2" ht="18.75">
      <c r="A9" s="458" t="s">
        <v>1123</v>
      </c>
      <c r="B9" s="458"/>
    </row>
    <row r="10" ht="18.75">
      <c r="B10" s="313" t="s">
        <v>757</v>
      </c>
    </row>
    <row r="11" ht="18.75">
      <c r="B11" s="314" t="s">
        <v>1124</v>
      </c>
    </row>
    <row r="12" spans="1:2" ht="18.75">
      <c r="A12" s="459" t="s">
        <v>1136</v>
      </c>
      <c r="B12" s="459"/>
    </row>
    <row r="13" ht="18.75">
      <c r="B13" s="314"/>
    </row>
    <row r="14" spans="1:2" ht="43.5" customHeight="1">
      <c r="A14" s="460" t="s">
        <v>1137</v>
      </c>
      <c r="B14" s="460"/>
    </row>
    <row r="15" spans="1:13" ht="19.5" customHeight="1">
      <c r="A15" s="461" t="s">
        <v>756</v>
      </c>
      <c r="B15" s="461"/>
      <c r="L15" s="462"/>
      <c r="M15" s="462"/>
    </row>
    <row r="16" spans="1:3" ht="18.75">
      <c r="A16" s="448"/>
      <c r="B16" s="448"/>
      <c r="C16" s="272"/>
    </row>
    <row r="17" spans="1:3" ht="18.75">
      <c r="A17" s="448"/>
      <c r="B17" s="448"/>
      <c r="C17" s="272"/>
    </row>
    <row r="18" spans="1:3" ht="18.75">
      <c r="A18" s="448"/>
      <c r="B18" s="448"/>
      <c r="C18" s="272"/>
    </row>
    <row r="19" spans="1:3" ht="18.75">
      <c r="A19" s="272"/>
      <c r="B19" s="272"/>
      <c r="C19" s="272"/>
    </row>
    <row r="20" spans="1:11" ht="20.25">
      <c r="A20" s="463" t="s">
        <v>1072</v>
      </c>
      <c r="B20" s="463"/>
      <c r="C20" s="463"/>
      <c r="D20" s="463"/>
      <c r="E20" s="463"/>
      <c r="F20" s="463"/>
      <c r="G20" s="463"/>
      <c r="H20" s="463"/>
      <c r="I20" s="463"/>
      <c r="J20" s="463"/>
      <c r="K20" s="463"/>
    </row>
    <row r="21" spans="1:11" ht="78.75">
      <c r="A21" s="464" t="s">
        <v>147</v>
      </c>
      <c r="B21" s="465" t="s">
        <v>148</v>
      </c>
      <c r="C21" s="465" t="s">
        <v>759</v>
      </c>
      <c r="D21" s="299">
        <v>2018</v>
      </c>
      <c r="E21" s="335">
        <v>2019</v>
      </c>
      <c r="F21" s="335">
        <v>2019</v>
      </c>
      <c r="G21" s="335">
        <v>2020</v>
      </c>
      <c r="H21" s="335">
        <v>2021</v>
      </c>
      <c r="I21" s="335">
        <v>2022</v>
      </c>
      <c r="J21" s="335">
        <v>2023</v>
      </c>
      <c r="K21" s="335" t="s">
        <v>669</v>
      </c>
    </row>
    <row r="22" spans="1:11" ht="18.75">
      <c r="A22" s="464"/>
      <c r="B22" s="465"/>
      <c r="C22" s="465"/>
      <c r="D22" s="299" t="s">
        <v>1134</v>
      </c>
      <c r="E22" s="299" t="s">
        <v>1135</v>
      </c>
      <c r="F22" s="299" t="s">
        <v>1134</v>
      </c>
      <c r="G22" s="315" t="s">
        <v>1125</v>
      </c>
      <c r="H22" s="315" t="s">
        <v>1125</v>
      </c>
      <c r="I22" s="315" t="s">
        <v>1125</v>
      </c>
      <c r="J22" s="315" t="s">
        <v>1125</v>
      </c>
      <c r="K22" s="315" t="s">
        <v>1125</v>
      </c>
    </row>
    <row r="23" spans="1:11" s="302" customFormat="1" ht="18.75">
      <c r="A23" s="286">
        <v>1</v>
      </c>
      <c r="B23" s="287">
        <v>2</v>
      </c>
      <c r="C23" s="287">
        <v>3</v>
      </c>
      <c r="D23" s="300"/>
      <c r="E23" s="316" t="s">
        <v>1126</v>
      </c>
      <c r="F23" s="316"/>
      <c r="G23" s="286" t="s">
        <v>1127</v>
      </c>
      <c r="H23" s="286" t="s">
        <v>1128</v>
      </c>
      <c r="I23" s="287"/>
      <c r="J23" s="287"/>
      <c r="K23" s="286" t="s">
        <v>1129</v>
      </c>
    </row>
    <row r="24" spans="1:11" s="302" customFormat="1" ht="18.75">
      <c r="A24" s="466" t="s">
        <v>681</v>
      </c>
      <c r="B24" s="466"/>
      <c r="C24" s="466"/>
      <c r="D24" s="466"/>
      <c r="E24" s="466"/>
      <c r="F24" s="466"/>
      <c r="G24" s="466"/>
      <c r="H24" s="466"/>
      <c r="I24" s="466"/>
      <c r="J24" s="466"/>
      <c r="K24" s="466"/>
    </row>
    <row r="25" spans="1:11" s="302" customFormat="1" ht="18.75">
      <c r="A25" s="274" t="s">
        <v>163</v>
      </c>
      <c r="B25" s="275" t="s">
        <v>56</v>
      </c>
      <c r="C25" s="276" t="s">
        <v>904</v>
      </c>
      <c r="D25" s="277">
        <f>D31+D33</f>
        <v>207.96917522</v>
      </c>
      <c r="E25" s="293">
        <f>E31</f>
        <v>225.99975</v>
      </c>
      <c r="F25" s="331">
        <v>225.79420839166667</v>
      </c>
      <c r="G25" s="331">
        <v>247.04222</v>
      </c>
      <c r="H25" s="331">
        <v>250.692507608</v>
      </c>
      <c r="I25" s="331">
        <v>251.58907404106</v>
      </c>
      <c r="J25" s="331">
        <v>252.57982580229225</v>
      </c>
      <c r="K25" s="331">
        <v>1227.697835843019</v>
      </c>
    </row>
    <row r="26" spans="1:11" s="302" customFormat="1" ht="18.75">
      <c r="A26" s="269" t="s">
        <v>164</v>
      </c>
      <c r="B26" s="352" t="s">
        <v>57</v>
      </c>
      <c r="C26" s="268" t="s">
        <v>904</v>
      </c>
      <c r="D26" s="271"/>
      <c r="E26" s="294"/>
      <c r="F26" s="329"/>
      <c r="G26" s="353"/>
      <c r="H26" s="353"/>
      <c r="I26" s="353"/>
      <c r="J26" s="353"/>
      <c r="K26" s="331">
        <v>0</v>
      </c>
    </row>
    <row r="27" spans="1:11" s="302" customFormat="1" ht="31.5">
      <c r="A27" s="269" t="s">
        <v>349</v>
      </c>
      <c r="B27" s="354" t="s">
        <v>1057</v>
      </c>
      <c r="C27" s="268" t="s">
        <v>904</v>
      </c>
      <c r="D27" s="271"/>
      <c r="E27" s="294"/>
      <c r="F27" s="329"/>
      <c r="G27" s="353"/>
      <c r="H27" s="353"/>
      <c r="I27" s="353"/>
      <c r="J27" s="353"/>
      <c r="K27" s="331">
        <v>0</v>
      </c>
    </row>
    <row r="28" spans="1:11" s="302" customFormat="1" ht="31.5">
      <c r="A28" s="269" t="s">
        <v>351</v>
      </c>
      <c r="B28" s="354" t="s">
        <v>1058</v>
      </c>
      <c r="C28" s="268" t="s">
        <v>904</v>
      </c>
      <c r="D28" s="271"/>
      <c r="E28" s="294"/>
      <c r="F28" s="329"/>
      <c r="G28" s="353"/>
      <c r="H28" s="353"/>
      <c r="I28" s="353"/>
      <c r="J28" s="353"/>
      <c r="K28" s="331">
        <v>0</v>
      </c>
    </row>
    <row r="29" spans="1:11" s="302" customFormat="1" ht="31.5">
      <c r="A29" s="269" t="s">
        <v>353</v>
      </c>
      <c r="B29" s="354" t="s">
        <v>1043</v>
      </c>
      <c r="C29" s="268" t="s">
        <v>904</v>
      </c>
      <c r="D29" s="271"/>
      <c r="E29" s="294"/>
      <c r="F29" s="329"/>
      <c r="G29" s="353"/>
      <c r="H29" s="353"/>
      <c r="I29" s="353"/>
      <c r="J29" s="353"/>
      <c r="K29" s="331">
        <v>0</v>
      </c>
    </row>
    <row r="30" spans="1:11" s="302" customFormat="1" ht="18.75">
      <c r="A30" s="269" t="s">
        <v>165</v>
      </c>
      <c r="B30" s="352" t="s">
        <v>96</v>
      </c>
      <c r="C30" s="268" t="s">
        <v>904</v>
      </c>
      <c r="D30" s="271"/>
      <c r="E30" s="294"/>
      <c r="F30" s="329"/>
      <c r="G30" s="353"/>
      <c r="H30" s="353"/>
      <c r="I30" s="353"/>
      <c r="J30" s="353"/>
      <c r="K30" s="331">
        <v>0</v>
      </c>
    </row>
    <row r="31" spans="1:12" s="302" customFormat="1" ht="18.75">
      <c r="A31" s="269" t="s">
        <v>168</v>
      </c>
      <c r="B31" s="352" t="s">
        <v>1103</v>
      </c>
      <c r="C31" s="268" t="s">
        <v>904</v>
      </c>
      <c r="D31" s="271">
        <v>197.36</v>
      </c>
      <c r="E31" s="295">
        <f>E40</f>
        <v>225.99975</v>
      </c>
      <c r="F31" s="330">
        <v>224.6987642</v>
      </c>
      <c r="G31" s="330">
        <v>246.92221999999998</v>
      </c>
      <c r="H31" s="330">
        <v>250.602269498</v>
      </c>
      <c r="I31" s="330">
        <v>251.58907404106</v>
      </c>
      <c r="J31" s="330">
        <v>252.57982580229225</v>
      </c>
      <c r="K31" s="331">
        <v>1226.3921535413524</v>
      </c>
      <c r="L31" s="307"/>
    </row>
    <row r="32" spans="1:11" s="302" customFormat="1" ht="18.75">
      <c r="A32" s="269" t="s">
        <v>186</v>
      </c>
      <c r="B32" s="352" t="s">
        <v>97</v>
      </c>
      <c r="C32" s="268" t="s">
        <v>904</v>
      </c>
      <c r="D32" s="271"/>
      <c r="E32" s="296"/>
      <c r="F32" s="331"/>
      <c r="G32" s="355"/>
      <c r="H32" s="355"/>
      <c r="I32" s="355"/>
      <c r="J32" s="355"/>
      <c r="K32" s="331">
        <v>0</v>
      </c>
    </row>
    <row r="33" spans="1:11" s="302" customFormat="1" ht="18.75">
      <c r="A33" s="269" t="s">
        <v>222</v>
      </c>
      <c r="B33" s="352" t="s">
        <v>1104</v>
      </c>
      <c r="C33" s="268" t="s">
        <v>904</v>
      </c>
      <c r="D33" s="271">
        <f>0.09392122+10.515254</f>
        <v>10.609175220000001</v>
      </c>
      <c r="E33" s="296">
        <v>0.01</v>
      </c>
      <c r="F33" s="331">
        <v>1.0954441916666666</v>
      </c>
      <c r="G33" s="355">
        <v>0.12</v>
      </c>
      <c r="H33" s="355">
        <v>0.09023811</v>
      </c>
      <c r="I33" s="355"/>
      <c r="J33" s="355"/>
      <c r="K33" s="331">
        <v>1.3056823016666668</v>
      </c>
    </row>
    <row r="34" spans="1:11" s="302" customFormat="1" ht="18.75">
      <c r="A34" s="269" t="s">
        <v>232</v>
      </c>
      <c r="B34" s="352" t="s">
        <v>1105</v>
      </c>
      <c r="C34" s="268" t="s">
        <v>904</v>
      </c>
      <c r="D34" s="271"/>
      <c r="E34" s="294"/>
      <c r="F34" s="332"/>
      <c r="G34" s="353"/>
      <c r="H34" s="356"/>
      <c r="I34" s="356"/>
      <c r="J34" s="356"/>
      <c r="K34" s="331">
        <v>0</v>
      </c>
    </row>
    <row r="35" spans="1:11" s="302" customFormat="1" ht="18.75">
      <c r="A35" s="269" t="s">
        <v>897</v>
      </c>
      <c r="B35" s="352" t="s">
        <v>104</v>
      </c>
      <c r="C35" s="268" t="s">
        <v>904</v>
      </c>
      <c r="D35" s="271"/>
      <c r="E35" s="294"/>
      <c r="F35" s="332"/>
      <c r="G35" s="353"/>
      <c r="H35" s="356"/>
      <c r="I35" s="356"/>
      <c r="J35" s="356"/>
      <c r="K35" s="331">
        <v>0</v>
      </c>
    </row>
    <row r="36" spans="1:11" s="302" customFormat="1" ht="31.5">
      <c r="A36" s="269" t="s">
        <v>898</v>
      </c>
      <c r="B36" s="354" t="s">
        <v>974</v>
      </c>
      <c r="C36" s="268" t="s">
        <v>904</v>
      </c>
      <c r="D36" s="271"/>
      <c r="E36" s="294"/>
      <c r="F36" s="332"/>
      <c r="G36" s="353"/>
      <c r="H36" s="356"/>
      <c r="I36" s="356"/>
      <c r="J36" s="356"/>
      <c r="K36" s="331">
        <v>0</v>
      </c>
    </row>
    <row r="37" spans="1:11" s="302" customFormat="1" ht="18.75">
      <c r="A37" s="269" t="s">
        <v>20</v>
      </c>
      <c r="B37" s="357" t="s">
        <v>798</v>
      </c>
      <c r="C37" s="268" t="s">
        <v>904</v>
      </c>
      <c r="D37" s="271"/>
      <c r="E37" s="294"/>
      <c r="F37" s="332"/>
      <c r="G37" s="353"/>
      <c r="H37" s="356"/>
      <c r="I37" s="356"/>
      <c r="J37" s="356"/>
      <c r="K37" s="331">
        <v>0</v>
      </c>
    </row>
    <row r="38" spans="1:11" s="302" customFormat="1" ht="18.75">
      <c r="A38" s="269" t="s">
        <v>21</v>
      </c>
      <c r="B38" s="357" t="s">
        <v>786</v>
      </c>
      <c r="C38" s="268" t="s">
        <v>904</v>
      </c>
      <c r="D38" s="271"/>
      <c r="E38" s="294"/>
      <c r="F38" s="332"/>
      <c r="G38" s="353"/>
      <c r="H38" s="356"/>
      <c r="I38" s="356"/>
      <c r="J38" s="356"/>
      <c r="K38" s="331">
        <v>0</v>
      </c>
    </row>
    <row r="39" spans="1:11" s="302" customFormat="1" ht="18.75">
      <c r="A39" s="269" t="s">
        <v>899</v>
      </c>
      <c r="B39" s="352" t="s">
        <v>1106</v>
      </c>
      <c r="C39" s="268" t="s">
        <v>904</v>
      </c>
      <c r="D39" s="271"/>
      <c r="E39" s="294"/>
      <c r="F39" s="332"/>
      <c r="G39" s="353"/>
      <c r="H39" s="356"/>
      <c r="I39" s="356"/>
      <c r="J39" s="356"/>
      <c r="K39" s="331">
        <v>0</v>
      </c>
    </row>
    <row r="40" spans="1:15" s="302" customFormat="1" ht="31.5">
      <c r="A40" s="274" t="s">
        <v>166</v>
      </c>
      <c r="B40" s="275" t="s">
        <v>58</v>
      </c>
      <c r="C40" s="276" t="s">
        <v>904</v>
      </c>
      <c r="D40" s="358">
        <f>D46+D48</f>
        <v>239.79988504399998</v>
      </c>
      <c r="E40" s="359">
        <f>E46+E48</f>
        <v>225.99975</v>
      </c>
      <c r="F40" s="441">
        <v>333.2067002030001</v>
      </c>
      <c r="G40" s="331">
        <v>247.04222</v>
      </c>
      <c r="H40" s="333">
        <v>250.692507608</v>
      </c>
      <c r="I40" s="333">
        <v>251.58907404106</v>
      </c>
      <c r="J40" s="333">
        <v>252.57982580229225</v>
      </c>
      <c r="K40" s="331">
        <v>1335.1103276543522</v>
      </c>
      <c r="O40" s="317"/>
    </row>
    <row r="41" spans="1:12" s="302" customFormat="1" ht="18.75">
      <c r="A41" s="269" t="s">
        <v>170</v>
      </c>
      <c r="B41" s="352" t="s">
        <v>57</v>
      </c>
      <c r="C41" s="268" t="s">
        <v>904</v>
      </c>
      <c r="D41" s="318"/>
      <c r="E41" s="360"/>
      <c r="F41" s="361"/>
      <c r="G41" s="353"/>
      <c r="H41" s="356"/>
      <c r="I41" s="356"/>
      <c r="J41" s="356"/>
      <c r="K41" s="331">
        <v>0</v>
      </c>
      <c r="L41" s="307"/>
    </row>
    <row r="42" spans="1:11" s="302" customFormat="1" ht="31.5">
      <c r="A42" s="269" t="s">
        <v>997</v>
      </c>
      <c r="B42" s="342" t="s">
        <v>1057</v>
      </c>
      <c r="C42" s="268" t="s">
        <v>904</v>
      </c>
      <c r="D42" s="318"/>
      <c r="E42" s="360"/>
      <c r="F42" s="361"/>
      <c r="G42" s="353"/>
      <c r="H42" s="356"/>
      <c r="I42" s="356"/>
      <c r="J42" s="356"/>
      <c r="K42" s="331">
        <v>0</v>
      </c>
    </row>
    <row r="43" spans="1:11" s="302" customFormat="1" ht="31.5">
      <c r="A43" s="269" t="s">
        <v>998</v>
      </c>
      <c r="B43" s="342" t="s">
        <v>1058</v>
      </c>
      <c r="C43" s="268" t="s">
        <v>904</v>
      </c>
      <c r="D43" s="318"/>
      <c r="E43" s="360"/>
      <c r="F43" s="361"/>
      <c r="G43" s="353"/>
      <c r="H43" s="356"/>
      <c r="I43" s="356"/>
      <c r="J43" s="356"/>
      <c r="K43" s="331">
        <v>0</v>
      </c>
    </row>
    <row r="44" spans="1:11" s="302" customFormat="1" ht="31.5">
      <c r="A44" s="269" t="s">
        <v>1003</v>
      </c>
      <c r="B44" s="342" t="s">
        <v>1043</v>
      </c>
      <c r="C44" s="268" t="s">
        <v>904</v>
      </c>
      <c r="D44" s="318"/>
      <c r="E44" s="360"/>
      <c r="F44" s="361"/>
      <c r="G44" s="353"/>
      <c r="H44" s="356"/>
      <c r="I44" s="356"/>
      <c r="J44" s="356"/>
      <c r="K44" s="331">
        <v>0</v>
      </c>
    </row>
    <row r="45" spans="1:11" s="302" customFormat="1" ht="18.75">
      <c r="A45" s="269" t="s">
        <v>171</v>
      </c>
      <c r="B45" s="352" t="s">
        <v>96</v>
      </c>
      <c r="C45" s="268" t="s">
        <v>904</v>
      </c>
      <c r="D45" s="318"/>
      <c r="E45" s="360"/>
      <c r="F45" s="361"/>
      <c r="G45" s="353"/>
      <c r="H45" s="356"/>
      <c r="I45" s="356"/>
      <c r="J45" s="356"/>
      <c r="K45" s="331">
        <v>0</v>
      </c>
    </row>
    <row r="46" spans="1:11" s="302" customFormat="1" ht="18.75">
      <c r="A46" s="269" t="s">
        <v>177</v>
      </c>
      <c r="B46" s="352" t="s">
        <v>1103</v>
      </c>
      <c r="C46" s="268" t="s">
        <v>904</v>
      </c>
      <c r="D46" s="296">
        <f>D55+D64+D70+D71+D72+D75</f>
        <v>239.76218504399998</v>
      </c>
      <c r="E46" s="296">
        <f>E55+E64+E70+E71+E72+E75</f>
        <v>225.99975</v>
      </c>
      <c r="F46" s="333">
        <v>330.96139020300006</v>
      </c>
      <c r="G46" s="331">
        <v>246.92221999999998</v>
      </c>
      <c r="H46" s="333">
        <v>250.602269498</v>
      </c>
      <c r="I46" s="333">
        <v>251.58907404106</v>
      </c>
      <c r="J46" s="333">
        <v>252.57982580229225</v>
      </c>
      <c r="K46" s="331">
        <v>1332.654779544352</v>
      </c>
    </row>
    <row r="47" spans="1:11" s="302" customFormat="1" ht="18.75">
      <c r="A47" s="269" t="s">
        <v>187</v>
      </c>
      <c r="B47" s="352" t="s">
        <v>97</v>
      </c>
      <c r="C47" s="268" t="s">
        <v>904</v>
      </c>
      <c r="D47" s="318"/>
      <c r="E47" s="360"/>
      <c r="F47" s="361"/>
      <c r="G47" s="353"/>
      <c r="H47" s="356"/>
      <c r="I47" s="356"/>
      <c r="J47" s="356"/>
      <c r="K47" s="331">
        <v>0</v>
      </c>
    </row>
    <row r="48" spans="1:11" s="302" customFormat="1" ht="18.75">
      <c r="A48" s="269" t="s">
        <v>188</v>
      </c>
      <c r="B48" s="352" t="s">
        <v>1104</v>
      </c>
      <c r="C48" s="268" t="s">
        <v>904</v>
      </c>
      <c r="D48" s="301">
        <v>0.0377</v>
      </c>
      <c r="E48" s="360"/>
      <c r="F48" s="353">
        <v>2.24531</v>
      </c>
      <c r="G48" s="353">
        <v>0.12</v>
      </c>
      <c r="H48" s="353">
        <v>0.09023811</v>
      </c>
      <c r="I48" s="353"/>
      <c r="J48" s="353"/>
      <c r="K48" s="331">
        <v>2.45554811</v>
      </c>
    </row>
    <row r="49" spans="1:11" s="302" customFormat="1" ht="18.75">
      <c r="A49" s="269" t="s">
        <v>189</v>
      </c>
      <c r="B49" s="352" t="s">
        <v>1105</v>
      </c>
      <c r="C49" s="268" t="s">
        <v>904</v>
      </c>
      <c r="D49" s="318"/>
      <c r="E49" s="360"/>
      <c r="F49" s="361"/>
      <c r="G49" s="353"/>
      <c r="H49" s="356"/>
      <c r="I49" s="356"/>
      <c r="J49" s="356"/>
      <c r="K49" s="331">
        <v>0</v>
      </c>
    </row>
    <row r="50" spans="1:11" s="302" customFormat="1" ht="18.75">
      <c r="A50" s="269" t="s">
        <v>190</v>
      </c>
      <c r="B50" s="352" t="s">
        <v>104</v>
      </c>
      <c r="C50" s="268" t="s">
        <v>904</v>
      </c>
      <c r="D50" s="318"/>
      <c r="E50" s="360"/>
      <c r="F50" s="361"/>
      <c r="G50" s="353"/>
      <c r="H50" s="356"/>
      <c r="I50" s="356"/>
      <c r="J50" s="356"/>
      <c r="K50" s="331">
        <v>0</v>
      </c>
    </row>
    <row r="51" spans="1:11" s="302" customFormat="1" ht="31.5">
      <c r="A51" s="269" t="s">
        <v>191</v>
      </c>
      <c r="B51" s="354" t="s">
        <v>974</v>
      </c>
      <c r="C51" s="268" t="s">
        <v>904</v>
      </c>
      <c r="D51" s="318"/>
      <c r="E51" s="360"/>
      <c r="F51" s="361"/>
      <c r="G51" s="353"/>
      <c r="H51" s="356"/>
      <c r="I51" s="356"/>
      <c r="J51" s="356"/>
      <c r="K51" s="331">
        <v>0</v>
      </c>
    </row>
    <row r="52" spans="1:11" s="302" customFormat="1" ht="18.75">
      <c r="A52" s="269" t="s">
        <v>22</v>
      </c>
      <c r="B52" s="342" t="s">
        <v>798</v>
      </c>
      <c r="C52" s="268" t="s">
        <v>904</v>
      </c>
      <c r="D52" s="318"/>
      <c r="E52" s="360"/>
      <c r="F52" s="361"/>
      <c r="G52" s="353"/>
      <c r="H52" s="356"/>
      <c r="I52" s="356"/>
      <c r="J52" s="356"/>
      <c r="K52" s="331">
        <v>0</v>
      </c>
    </row>
    <row r="53" spans="1:11" s="302" customFormat="1" ht="18.75">
      <c r="A53" s="269" t="s">
        <v>23</v>
      </c>
      <c r="B53" s="342" t="s">
        <v>786</v>
      </c>
      <c r="C53" s="268" t="s">
        <v>904</v>
      </c>
      <c r="D53" s="318"/>
      <c r="E53" s="360"/>
      <c r="F53" s="361"/>
      <c r="G53" s="353"/>
      <c r="H53" s="356"/>
      <c r="I53" s="356"/>
      <c r="J53" s="356"/>
      <c r="K53" s="331">
        <v>0</v>
      </c>
    </row>
    <row r="54" spans="1:11" s="302" customFormat="1" ht="18.75">
      <c r="A54" s="269" t="s">
        <v>192</v>
      </c>
      <c r="B54" s="352" t="s">
        <v>1106</v>
      </c>
      <c r="C54" s="268" t="s">
        <v>904</v>
      </c>
      <c r="D54" s="318"/>
      <c r="E54" s="360"/>
      <c r="F54" s="361"/>
      <c r="G54" s="353"/>
      <c r="H54" s="356"/>
      <c r="I54" s="356"/>
      <c r="J54" s="356"/>
      <c r="K54" s="331">
        <v>0</v>
      </c>
    </row>
    <row r="55" spans="1:12" s="302" customFormat="1" ht="18.75">
      <c r="A55" s="274" t="s">
        <v>996</v>
      </c>
      <c r="B55" s="279" t="s">
        <v>59</v>
      </c>
      <c r="C55" s="276" t="s">
        <v>904</v>
      </c>
      <c r="D55" s="362">
        <f>D59+D62</f>
        <v>128.36113</v>
      </c>
      <c r="E55" s="363">
        <f>E59+E62</f>
        <v>91.64384000000001</v>
      </c>
      <c r="F55" s="366">
        <v>193.92735000000002</v>
      </c>
      <c r="G55" s="355">
        <v>102.53788</v>
      </c>
      <c r="H55" s="366">
        <v>102.917270156</v>
      </c>
      <c r="I55" s="366">
        <v>103.328939236624</v>
      </c>
      <c r="J55" s="366">
        <v>103.7422549935705</v>
      </c>
      <c r="K55" s="331">
        <v>606.4536943861945</v>
      </c>
      <c r="L55" s="307"/>
    </row>
    <row r="56" spans="1:11" s="302" customFormat="1" ht="18.75">
      <c r="A56" s="280" t="s">
        <v>997</v>
      </c>
      <c r="B56" s="281" t="s">
        <v>1093</v>
      </c>
      <c r="C56" s="268" t="s">
        <v>904</v>
      </c>
      <c r="D56" s="301"/>
      <c r="E56" s="360"/>
      <c r="F56" s="361"/>
      <c r="G56" s="353"/>
      <c r="H56" s="356"/>
      <c r="I56" s="356"/>
      <c r="J56" s="356"/>
      <c r="K56" s="331">
        <v>0</v>
      </c>
    </row>
    <row r="57" spans="1:11" s="302" customFormat="1" ht="18.75">
      <c r="A57" s="269" t="s">
        <v>998</v>
      </c>
      <c r="B57" s="357" t="s">
        <v>1094</v>
      </c>
      <c r="C57" s="268" t="s">
        <v>904</v>
      </c>
      <c r="D57" s="301"/>
      <c r="E57" s="360"/>
      <c r="F57" s="361"/>
      <c r="G57" s="353"/>
      <c r="H57" s="356"/>
      <c r="I57" s="356"/>
      <c r="J57" s="356"/>
      <c r="K57" s="331">
        <v>0</v>
      </c>
    </row>
    <row r="58" spans="1:11" s="302" customFormat="1" ht="18.75">
      <c r="A58" s="280" t="s">
        <v>999</v>
      </c>
      <c r="B58" s="282" t="s">
        <v>800</v>
      </c>
      <c r="C58" s="268" t="s">
        <v>904</v>
      </c>
      <c r="D58" s="301"/>
      <c r="E58" s="360"/>
      <c r="F58" s="361"/>
      <c r="G58" s="353"/>
      <c r="H58" s="356"/>
      <c r="I58" s="356"/>
      <c r="J58" s="356"/>
      <c r="K58" s="331">
        <v>0</v>
      </c>
    </row>
    <row r="59" spans="1:11" s="302" customFormat="1" ht="31.5">
      <c r="A59" s="269" t="s">
        <v>1000</v>
      </c>
      <c r="B59" s="273" t="s">
        <v>670</v>
      </c>
      <c r="C59" s="268" t="s">
        <v>904</v>
      </c>
      <c r="D59" s="301">
        <v>90.091</v>
      </c>
      <c r="E59" s="365">
        <v>86.48636</v>
      </c>
      <c r="F59" s="366">
        <v>183.306</v>
      </c>
      <c r="G59" s="355">
        <v>97.31414</v>
      </c>
      <c r="H59" s="367">
        <v>97.674202318</v>
      </c>
      <c r="I59" s="367">
        <v>98.064899127272</v>
      </c>
      <c r="J59" s="367">
        <v>98.45715872378109</v>
      </c>
      <c r="K59" s="331">
        <v>574.816400169053</v>
      </c>
    </row>
    <row r="60" spans="1:11" s="302" customFormat="1" ht="18.75">
      <c r="A60" s="269" t="s">
        <v>1001</v>
      </c>
      <c r="B60" s="273" t="s">
        <v>799</v>
      </c>
      <c r="C60" s="268" t="s">
        <v>904</v>
      </c>
      <c r="D60" s="301"/>
      <c r="E60" s="365"/>
      <c r="F60" s="366"/>
      <c r="G60" s="355"/>
      <c r="H60" s="367"/>
      <c r="I60" s="367"/>
      <c r="J60" s="367"/>
      <c r="K60" s="331">
        <v>0</v>
      </c>
    </row>
    <row r="61" spans="1:11" s="302" customFormat="1" ht="18.75">
      <c r="A61" s="269" t="s">
        <v>1002</v>
      </c>
      <c r="B61" s="344" t="s">
        <v>760</v>
      </c>
      <c r="C61" s="268" t="s">
        <v>904</v>
      </c>
      <c r="D61" s="301"/>
      <c r="E61" s="365"/>
      <c r="F61" s="366"/>
      <c r="G61" s="355"/>
      <c r="H61" s="367"/>
      <c r="I61" s="367"/>
      <c r="J61" s="367"/>
      <c r="K61" s="331">
        <v>0</v>
      </c>
    </row>
    <row r="62" spans="1:11" s="302" customFormat="1" ht="18.75">
      <c r="A62" s="280" t="s">
        <v>1003</v>
      </c>
      <c r="B62" s="283" t="s">
        <v>1095</v>
      </c>
      <c r="C62" s="268" t="s">
        <v>904</v>
      </c>
      <c r="D62" s="301">
        <v>38.27013</v>
      </c>
      <c r="E62" s="365">
        <v>5.15748</v>
      </c>
      <c r="F62" s="366">
        <v>10.62135</v>
      </c>
      <c r="G62" s="355">
        <v>5.22374</v>
      </c>
      <c r="H62" s="367">
        <v>5.243067838000001</v>
      </c>
      <c r="I62" s="367">
        <v>5.264040109352001</v>
      </c>
      <c r="J62" s="367">
        <v>5.285096269789409</v>
      </c>
      <c r="K62" s="331">
        <v>31.637294217141413</v>
      </c>
    </row>
    <row r="63" spans="1:11" s="302" customFormat="1" ht="18.75">
      <c r="A63" s="280" t="s">
        <v>1004</v>
      </c>
      <c r="B63" s="283" t="s">
        <v>1096</v>
      </c>
      <c r="C63" s="268" t="s">
        <v>904</v>
      </c>
      <c r="D63" s="301"/>
      <c r="E63" s="365"/>
      <c r="F63" s="366"/>
      <c r="G63" s="355"/>
      <c r="H63" s="367"/>
      <c r="I63" s="367"/>
      <c r="J63" s="367"/>
      <c r="K63" s="331">
        <v>0</v>
      </c>
    </row>
    <row r="64" spans="1:11" s="302" customFormat="1" ht="18.75">
      <c r="A64" s="274" t="s">
        <v>1005</v>
      </c>
      <c r="B64" s="279" t="s">
        <v>60</v>
      </c>
      <c r="C64" s="276" t="s">
        <v>904</v>
      </c>
      <c r="D64" s="368">
        <f>D69</f>
        <v>88.91287</v>
      </c>
      <c r="E64" s="369">
        <f>E69</f>
        <v>116.70727</v>
      </c>
      <c r="F64" s="366">
        <v>109.47697000000001</v>
      </c>
      <c r="G64" s="355">
        <v>116.84411</v>
      </c>
      <c r="H64" s="355">
        <v>117.27643320700001</v>
      </c>
      <c r="I64" s="355">
        <v>117.74553893982801</v>
      </c>
      <c r="J64" s="355">
        <v>118.21652109558732</v>
      </c>
      <c r="K64" s="331">
        <v>579.5595732424154</v>
      </c>
    </row>
    <row r="65" spans="1:11" s="302" customFormat="1" ht="31.5">
      <c r="A65" s="269" t="s">
        <v>1006</v>
      </c>
      <c r="B65" s="342" t="s">
        <v>888</v>
      </c>
      <c r="C65" s="268" t="s">
        <v>904</v>
      </c>
      <c r="D65" s="301"/>
      <c r="E65" s="365"/>
      <c r="F65" s="366"/>
      <c r="G65" s="355"/>
      <c r="H65" s="367"/>
      <c r="I65" s="367"/>
      <c r="J65" s="367"/>
      <c r="K65" s="331">
        <v>0</v>
      </c>
    </row>
    <row r="66" spans="1:11" s="302" customFormat="1" ht="31.5">
      <c r="A66" s="269" t="s">
        <v>1007</v>
      </c>
      <c r="B66" s="342" t="s">
        <v>890</v>
      </c>
      <c r="C66" s="268" t="s">
        <v>904</v>
      </c>
      <c r="D66" s="301"/>
      <c r="E66" s="365"/>
      <c r="F66" s="366"/>
      <c r="G66" s="355"/>
      <c r="H66" s="367"/>
      <c r="I66" s="367"/>
      <c r="J66" s="367"/>
      <c r="K66" s="331">
        <v>0</v>
      </c>
    </row>
    <row r="67" spans="1:11" s="302" customFormat="1" ht="18.75">
      <c r="A67" s="269" t="s">
        <v>1008</v>
      </c>
      <c r="B67" s="357" t="s">
        <v>98</v>
      </c>
      <c r="C67" s="268" t="s">
        <v>904</v>
      </c>
      <c r="D67" s="301"/>
      <c r="E67" s="365"/>
      <c r="F67" s="366"/>
      <c r="G67" s="355"/>
      <c r="H67" s="367"/>
      <c r="I67" s="367"/>
      <c r="J67" s="367"/>
      <c r="K67" s="331">
        <v>0</v>
      </c>
    </row>
    <row r="68" spans="1:11" s="302" customFormat="1" ht="18.75">
      <c r="A68" s="269" t="s">
        <v>1009</v>
      </c>
      <c r="B68" s="357" t="s">
        <v>118</v>
      </c>
      <c r="C68" s="268" t="s">
        <v>904</v>
      </c>
      <c r="D68" s="301"/>
      <c r="E68" s="365"/>
      <c r="F68" s="366"/>
      <c r="G68" s="355"/>
      <c r="H68" s="367"/>
      <c r="I68" s="367"/>
      <c r="J68" s="367"/>
      <c r="K68" s="331">
        <v>0</v>
      </c>
    </row>
    <row r="69" spans="1:11" s="302" customFormat="1" ht="18.75">
      <c r="A69" s="269" t="s">
        <v>1010</v>
      </c>
      <c r="B69" s="357" t="s">
        <v>671</v>
      </c>
      <c r="C69" s="268" t="s">
        <v>904</v>
      </c>
      <c r="D69" s="301">
        <v>88.91287</v>
      </c>
      <c r="E69" s="365">
        <f>108.68063+8.02664</f>
        <v>116.70727</v>
      </c>
      <c r="F69" s="366">
        <v>109.47697000000001</v>
      </c>
      <c r="G69" s="355">
        <v>116.84411</v>
      </c>
      <c r="H69" s="367">
        <v>117.27643320700001</v>
      </c>
      <c r="I69" s="367">
        <v>117.74553893982801</v>
      </c>
      <c r="J69" s="367">
        <v>118.21652109558732</v>
      </c>
      <c r="K69" s="331">
        <v>579.5595732424154</v>
      </c>
    </row>
    <row r="70" spans="1:11" s="302" customFormat="1" ht="18.75">
      <c r="A70" s="274" t="s">
        <v>1011</v>
      </c>
      <c r="B70" s="279" t="s">
        <v>977</v>
      </c>
      <c r="C70" s="276" t="s">
        <v>904</v>
      </c>
      <c r="D70" s="368">
        <f>6.00517+1.79426</f>
        <v>7.799429999999999</v>
      </c>
      <c r="E70" s="369">
        <f>0.78604+6.58099+2.02036</f>
        <v>9.38739</v>
      </c>
      <c r="F70" s="366">
        <v>11.53055</v>
      </c>
      <c r="G70" s="366">
        <v>8.68587</v>
      </c>
      <c r="H70" s="366">
        <v>8.718007719</v>
      </c>
      <c r="I70" s="366">
        <v>8.752879749876</v>
      </c>
      <c r="J70" s="366">
        <v>8.787891268875503</v>
      </c>
      <c r="K70" s="331">
        <v>46.475198737751505</v>
      </c>
    </row>
    <row r="71" spans="1:11" s="302" customFormat="1" ht="18.75">
      <c r="A71" s="274" t="s">
        <v>1012</v>
      </c>
      <c r="B71" s="279" t="s">
        <v>978</v>
      </c>
      <c r="C71" s="276" t="s">
        <v>904</v>
      </c>
      <c r="D71" s="368">
        <v>0.321</v>
      </c>
      <c r="E71" s="369">
        <v>0</v>
      </c>
      <c r="F71" s="366">
        <v>0.999750203</v>
      </c>
      <c r="G71" s="366">
        <v>0.755</v>
      </c>
      <c r="H71" s="366">
        <v>1.584513733</v>
      </c>
      <c r="I71" s="366">
        <v>1.584513733</v>
      </c>
      <c r="J71" s="366">
        <v>1.584513733</v>
      </c>
      <c r="K71" s="331">
        <v>6.508291401999999</v>
      </c>
    </row>
    <row r="72" spans="1:11" s="302" customFormat="1" ht="18.75">
      <c r="A72" s="274" t="s">
        <v>1013</v>
      </c>
      <c r="B72" s="279" t="s">
        <v>61</v>
      </c>
      <c r="C72" s="276" t="s">
        <v>904</v>
      </c>
      <c r="D72" s="368">
        <f>D73+D74</f>
        <v>2.3022550440000003</v>
      </c>
      <c r="E72" s="370">
        <f>E73+E74</f>
        <v>0</v>
      </c>
      <c r="F72" s="442">
        <v>2.53136</v>
      </c>
      <c r="G72" s="366">
        <v>0.31662</v>
      </c>
      <c r="H72" s="366">
        <v>2.31662</v>
      </c>
      <c r="I72" s="366">
        <v>2.31662</v>
      </c>
      <c r="J72" s="366">
        <v>2.31662</v>
      </c>
      <c r="K72" s="331">
        <v>9.79784</v>
      </c>
    </row>
    <row r="73" spans="1:11" s="302" customFormat="1" ht="18.75">
      <c r="A73" s="269" t="s">
        <v>263</v>
      </c>
      <c r="B73" s="357" t="s">
        <v>952</v>
      </c>
      <c r="C73" s="268" t="s">
        <v>904</v>
      </c>
      <c r="D73" s="301">
        <v>0.18796</v>
      </c>
      <c r="E73" s="365"/>
      <c r="F73" s="366">
        <v>0.36596</v>
      </c>
      <c r="G73" s="366">
        <v>0.31662</v>
      </c>
      <c r="H73" s="366">
        <v>0.31662</v>
      </c>
      <c r="I73" s="366">
        <v>0.31662</v>
      </c>
      <c r="J73" s="366">
        <v>0.31662</v>
      </c>
      <c r="K73" s="331">
        <v>1.63244</v>
      </c>
    </row>
    <row r="74" spans="1:11" s="302" customFormat="1" ht="18.75">
      <c r="A74" s="269" t="s">
        <v>949</v>
      </c>
      <c r="B74" s="357" t="s">
        <v>214</v>
      </c>
      <c r="C74" s="268" t="s">
        <v>904</v>
      </c>
      <c r="D74" s="301">
        <f>(D33-D48)*0.2</f>
        <v>2.1142950440000003</v>
      </c>
      <c r="E74" s="365"/>
      <c r="F74" s="366">
        <v>2.1654</v>
      </c>
      <c r="G74" s="355"/>
      <c r="H74" s="367">
        <v>2</v>
      </c>
      <c r="I74" s="367">
        <v>2</v>
      </c>
      <c r="J74" s="367">
        <v>2</v>
      </c>
      <c r="K74" s="331">
        <v>8.1654</v>
      </c>
    </row>
    <row r="75" spans="1:11" s="302" customFormat="1" ht="18.75">
      <c r="A75" s="274" t="s">
        <v>1014</v>
      </c>
      <c r="B75" s="279" t="s">
        <v>62</v>
      </c>
      <c r="C75" s="276" t="s">
        <v>904</v>
      </c>
      <c r="D75" s="368">
        <f>D76+D77+D78</f>
        <v>12.0655</v>
      </c>
      <c r="E75" s="369">
        <f>E76+E77+E78</f>
        <v>8.26125</v>
      </c>
      <c r="F75" s="366">
        <v>12.49541</v>
      </c>
      <c r="G75" s="355">
        <v>17.78274</v>
      </c>
      <c r="H75" s="366">
        <v>17.789424683</v>
      </c>
      <c r="I75" s="366">
        <v>17.860582381732</v>
      </c>
      <c r="J75" s="366">
        <v>17.93202471125893</v>
      </c>
      <c r="K75" s="331">
        <v>83.86018177599094</v>
      </c>
    </row>
    <row r="76" spans="1:11" s="302" customFormat="1" ht="18.75">
      <c r="A76" s="269" t="s">
        <v>1015</v>
      </c>
      <c r="B76" s="357" t="s">
        <v>672</v>
      </c>
      <c r="C76" s="268" t="s">
        <v>904</v>
      </c>
      <c r="D76" s="301">
        <v>0.04883</v>
      </c>
      <c r="E76" s="365">
        <v>0.06996</v>
      </c>
      <c r="F76" s="366">
        <v>0.263</v>
      </c>
      <c r="G76" s="355">
        <v>0.062</v>
      </c>
      <c r="H76" s="367">
        <v>0</v>
      </c>
      <c r="I76" s="367">
        <v>0</v>
      </c>
      <c r="J76" s="367">
        <v>0</v>
      </c>
      <c r="K76" s="331">
        <v>0.325</v>
      </c>
    </row>
    <row r="77" spans="1:11" s="302" customFormat="1" ht="18.75">
      <c r="A77" s="269" t="s">
        <v>1016</v>
      </c>
      <c r="B77" s="357" t="s">
        <v>673</v>
      </c>
      <c r="C77" s="268" t="s">
        <v>904</v>
      </c>
      <c r="D77" s="301">
        <v>10.57319</v>
      </c>
      <c r="E77" s="365">
        <v>7.43122</v>
      </c>
      <c r="F77" s="366">
        <v>10.771</v>
      </c>
      <c r="G77" s="355">
        <v>7.32759</v>
      </c>
      <c r="H77" s="367">
        <v>7.354702083</v>
      </c>
      <c r="I77" s="367">
        <v>7.3841208913320004</v>
      </c>
      <c r="J77" s="367">
        <v>7.413657374897329</v>
      </c>
      <c r="K77" s="331">
        <v>40.25107034922933</v>
      </c>
    </row>
    <row r="78" spans="1:11" s="302" customFormat="1" ht="18.75">
      <c r="A78" s="269" t="s">
        <v>1017</v>
      </c>
      <c r="B78" s="357" t="s">
        <v>674</v>
      </c>
      <c r="C78" s="268" t="s">
        <v>904</v>
      </c>
      <c r="D78" s="301">
        <f>0.95048+0.493</f>
        <v>1.44348</v>
      </c>
      <c r="E78" s="365">
        <f>1.62007-0.86</f>
        <v>0.7600699999999999</v>
      </c>
      <c r="F78" s="366">
        <v>1.4614099999999999</v>
      </c>
      <c r="G78" s="355">
        <v>10.39315</v>
      </c>
      <c r="H78" s="367">
        <v>10.4347226</v>
      </c>
      <c r="I78" s="367">
        <v>10.4764614904</v>
      </c>
      <c r="J78" s="367">
        <v>10.5183673363616</v>
      </c>
      <c r="K78" s="331">
        <v>43.2841114267616</v>
      </c>
    </row>
    <row r="79" spans="1:11" s="302" customFormat="1" ht="18.75">
      <c r="A79" s="274" t="s">
        <v>1018</v>
      </c>
      <c r="B79" s="279" t="s">
        <v>1023</v>
      </c>
      <c r="C79" s="276" t="s">
        <v>904</v>
      </c>
      <c r="D79" s="368"/>
      <c r="E79" s="369"/>
      <c r="F79" s="366"/>
      <c r="G79" s="355"/>
      <c r="H79" s="367"/>
      <c r="I79" s="367"/>
      <c r="J79" s="367"/>
      <c r="K79" s="331">
        <v>0</v>
      </c>
    </row>
    <row r="80" spans="1:11" s="302" customFormat="1" ht="18.75">
      <c r="A80" s="269" t="s">
        <v>1019</v>
      </c>
      <c r="B80" s="357" t="s">
        <v>215</v>
      </c>
      <c r="C80" s="268" t="s">
        <v>904</v>
      </c>
      <c r="D80" s="301">
        <v>45.895992</v>
      </c>
      <c r="E80" s="365">
        <v>22.532415</v>
      </c>
      <c r="F80" s="366">
        <v>22.532415</v>
      </c>
      <c r="G80" s="355">
        <v>22.176</v>
      </c>
      <c r="H80" s="367">
        <v>22.264704</v>
      </c>
      <c r="I80" s="367">
        <v>22.353762816</v>
      </c>
      <c r="J80" s="367">
        <v>22.443177867264</v>
      </c>
      <c r="K80" s="331">
        <v>111.770059683264</v>
      </c>
    </row>
    <row r="81" spans="1:11" s="302" customFormat="1" ht="18.75">
      <c r="A81" s="269" t="s">
        <v>1020</v>
      </c>
      <c r="B81" s="357" t="s">
        <v>216</v>
      </c>
      <c r="C81" s="268" t="s">
        <v>904</v>
      </c>
      <c r="D81" s="301"/>
      <c r="E81" s="365"/>
      <c r="F81" s="366"/>
      <c r="G81" s="355"/>
      <c r="H81" s="367"/>
      <c r="I81" s="367"/>
      <c r="J81" s="367"/>
      <c r="K81" s="331">
        <v>0</v>
      </c>
    </row>
    <row r="82" spans="1:11" s="302" customFormat="1" ht="18.75">
      <c r="A82" s="269" t="s">
        <v>1021</v>
      </c>
      <c r="B82" s="357" t="s">
        <v>156</v>
      </c>
      <c r="C82" s="268" t="s">
        <v>904</v>
      </c>
      <c r="D82" s="301"/>
      <c r="E82" s="365"/>
      <c r="F82" s="366"/>
      <c r="G82" s="355"/>
      <c r="H82" s="367"/>
      <c r="I82" s="367"/>
      <c r="J82" s="367"/>
      <c r="K82" s="331">
        <v>0</v>
      </c>
    </row>
    <row r="83" spans="1:11" s="302" customFormat="1" ht="18.75">
      <c r="A83" s="274" t="s">
        <v>173</v>
      </c>
      <c r="B83" s="275" t="s">
        <v>113</v>
      </c>
      <c r="C83" s="276" t="s">
        <v>904</v>
      </c>
      <c r="D83" s="371">
        <f>D25-D40</f>
        <v>-31.830709823999968</v>
      </c>
      <c r="E83" s="371">
        <f>E25-E40</f>
        <v>0</v>
      </c>
      <c r="F83" s="442">
        <v>-107.41249181133341</v>
      </c>
      <c r="G83" s="442">
        <v>0</v>
      </c>
      <c r="H83" s="442">
        <v>0</v>
      </c>
      <c r="I83" s="442">
        <v>0</v>
      </c>
      <c r="J83" s="442">
        <v>0</v>
      </c>
      <c r="K83" s="331">
        <v>-107.41249181133341</v>
      </c>
    </row>
    <row r="84" spans="1:11" s="302" customFormat="1" ht="18.75">
      <c r="A84" s="269" t="s">
        <v>194</v>
      </c>
      <c r="B84" s="352" t="s">
        <v>57</v>
      </c>
      <c r="C84" s="268" t="s">
        <v>904</v>
      </c>
      <c r="D84" s="318"/>
      <c r="E84" s="360"/>
      <c r="F84" s="360"/>
      <c r="G84" s="372"/>
      <c r="H84" s="373"/>
      <c r="I84" s="373"/>
      <c r="J84" s="373"/>
      <c r="K84" s="271">
        <v>0</v>
      </c>
    </row>
    <row r="85" spans="1:11" s="302" customFormat="1" ht="31.5">
      <c r="A85" s="269" t="s">
        <v>988</v>
      </c>
      <c r="B85" s="342" t="s">
        <v>1057</v>
      </c>
      <c r="C85" s="268" t="s">
        <v>904</v>
      </c>
      <c r="D85" s="318"/>
      <c r="E85" s="360"/>
      <c r="F85" s="360"/>
      <c r="G85" s="372"/>
      <c r="H85" s="373"/>
      <c r="I85" s="373"/>
      <c r="J85" s="373"/>
      <c r="K85" s="271">
        <v>0</v>
      </c>
    </row>
    <row r="86" spans="1:11" s="302" customFormat="1" ht="31.5">
      <c r="A86" s="269" t="s">
        <v>989</v>
      </c>
      <c r="B86" s="342" t="s">
        <v>1058</v>
      </c>
      <c r="C86" s="268" t="s">
        <v>904</v>
      </c>
      <c r="D86" s="318"/>
      <c r="E86" s="360"/>
      <c r="F86" s="360"/>
      <c r="G86" s="372"/>
      <c r="H86" s="373"/>
      <c r="I86" s="373"/>
      <c r="J86" s="373"/>
      <c r="K86" s="271">
        <v>0</v>
      </c>
    </row>
    <row r="87" spans="1:11" s="302" customFormat="1" ht="31.5">
      <c r="A87" s="269" t="s">
        <v>990</v>
      </c>
      <c r="B87" s="342" t="s">
        <v>1043</v>
      </c>
      <c r="C87" s="268" t="s">
        <v>904</v>
      </c>
      <c r="D87" s="318"/>
      <c r="E87" s="360"/>
      <c r="F87" s="360"/>
      <c r="G87" s="372"/>
      <c r="H87" s="373"/>
      <c r="I87" s="373"/>
      <c r="J87" s="373"/>
      <c r="K87" s="271">
        <v>0</v>
      </c>
    </row>
    <row r="88" spans="1:11" s="302" customFormat="1" ht="18.75">
      <c r="A88" s="269" t="s">
        <v>195</v>
      </c>
      <c r="B88" s="352" t="s">
        <v>96</v>
      </c>
      <c r="C88" s="268" t="s">
        <v>904</v>
      </c>
      <c r="D88" s="318"/>
      <c r="E88" s="360"/>
      <c r="F88" s="360"/>
      <c r="G88" s="372"/>
      <c r="H88" s="373"/>
      <c r="I88" s="373"/>
      <c r="J88" s="373"/>
      <c r="K88" s="271">
        <v>0</v>
      </c>
    </row>
    <row r="89" spans="1:11" s="302" customFormat="1" ht="18.75">
      <c r="A89" s="269" t="s">
        <v>905</v>
      </c>
      <c r="B89" s="352" t="s">
        <v>1103</v>
      </c>
      <c r="C89" s="268" t="s">
        <v>904</v>
      </c>
      <c r="D89" s="374">
        <f>D31-D46</f>
        <v>-42.402185043999964</v>
      </c>
      <c r="E89" s="375"/>
      <c r="F89" s="375">
        <v>-106.26262600300007</v>
      </c>
      <c r="G89" s="375">
        <v>0</v>
      </c>
      <c r="H89" s="375">
        <v>0</v>
      </c>
      <c r="I89" s="375">
        <v>0</v>
      </c>
      <c r="J89" s="375">
        <v>0</v>
      </c>
      <c r="K89" s="271">
        <v>-106.26262600300007</v>
      </c>
    </row>
    <row r="90" spans="1:11" s="302" customFormat="1" ht="18.75">
      <c r="A90" s="269" t="s">
        <v>906</v>
      </c>
      <c r="B90" s="352" t="s">
        <v>97</v>
      </c>
      <c r="C90" s="268" t="s">
        <v>904</v>
      </c>
      <c r="D90" s="374"/>
      <c r="E90" s="375"/>
      <c r="F90" s="375"/>
      <c r="G90" s="375"/>
      <c r="H90" s="375"/>
      <c r="I90" s="375"/>
      <c r="J90" s="375"/>
      <c r="K90" s="271">
        <v>0</v>
      </c>
    </row>
    <row r="91" spans="1:11" s="302" customFormat="1" ht="18.75">
      <c r="A91" s="269" t="s">
        <v>907</v>
      </c>
      <c r="B91" s="352" t="s">
        <v>1104</v>
      </c>
      <c r="C91" s="268" t="s">
        <v>904</v>
      </c>
      <c r="D91" s="374">
        <f>D33-D48</f>
        <v>10.571475220000002</v>
      </c>
      <c r="E91" s="375"/>
      <c r="F91" s="375">
        <v>-1.1498658083333333</v>
      </c>
      <c r="G91" s="375">
        <v>0</v>
      </c>
      <c r="H91" s="375">
        <v>0</v>
      </c>
      <c r="I91" s="375">
        <v>0</v>
      </c>
      <c r="J91" s="375">
        <v>0</v>
      </c>
      <c r="K91" s="271">
        <v>-1.1498658083333333</v>
      </c>
    </row>
    <row r="92" spans="1:11" s="302" customFormat="1" ht="18.75">
      <c r="A92" s="269" t="s">
        <v>908</v>
      </c>
      <c r="B92" s="352" t="s">
        <v>1105</v>
      </c>
      <c r="C92" s="268" t="s">
        <v>904</v>
      </c>
      <c r="D92" s="318"/>
      <c r="E92" s="360"/>
      <c r="F92" s="360"/>
      <c r="G92" s="372"/>
      <c r="H92" s="373"/>
      <c r="I92" s="373"/>
      <c r="J92" s="373"/>
      <c r="K92" s="271">
        <v>0</v>
      </c>
    </row>
    <row r="93" spans="1:11" s="302" customFormat="1" ht="18.75">
      <c r="A93" s="269" t="s">
        <v>909</v>
      </c>
      <c r="B93" s="352" t="s">
        <v>104</v>
      </c>
      <c r="C93" s="268" t="s">
        <v>904</v>
      </c>
      <c r="D93" s="318"/>
      <c r="E93" s="360"/>
      <c r="F93" s="360"/>
      <c r="G93" s="372"/>
      <c r="H93" s="373"/>
      <c r="I93" s="373"/>
      <c r="J93" s="373"/>
      <c r="K93" s="271">
        <v>0</v>
      </c>
    </row>
    <row r="94" spans="1:11" s="302" customFormat="1" ht="31.5">
      <c r="A94" s="269" t="s">
        <v>910</v>
      </c>
      <c r="B94" s="354" t="s">
        <v>974</v>
      </c>
      <c r="C94" s="268" t="s">
        <v>904</v>
      </c>
      <c r="D94" s="318"/>
      <c r="E94" s="360"/>
      <c r="F94" s="360"/>
      <c r="G94" s="372"/>
      <c r="H94" s="373"/>
      <c r="I94" s="373"/>
      <c r="J94" s="373"/>
      <c r="K94" s="271">
        <v>0</v>
      </c>
    </row>
    <row r="95" spans="1:11" s="302" customFormat="1" ht="18.75">
      <c r="A95" s="269" t="s">
        <v>24</v>
      </c>
      <c r="B95" s="342" t="s">
        <v>798</v>
      </c>
      <c r="C95" s="268" t="s">
        <v>904</v>
      </c>
      <c r="D95" s="318"/>
      <c r="E95" s="360"/>
      <c r="F95" s="360"/>
      <c r="G95" s="372"/>
      <c r="H95" s="373"/>
      <c r="I95" s="373"/>
      <c r="J95" s="373"/>
      <c r="K95" s="271">
        <v>0</v>
      </c>
    </row>
    <row r="96" spans="1:11" s="302" customFormat="1" ht="18.75">
      <c r="A96" s="269" t="s">
        <v>25</v>
      </c>
      <c r="B96" s="357" t="s">
        <v>786</v>
      </c>
      <c r="C96" s="268" t="s">
        <v>904</v>
      </c>
      <c r="D96" s="318"/>
      <c r="E96" s="360"/>
      <c r="F96" s="360"/>
      <c r="G96" s="372"/>
      <c r="H96" s="373"/>
      <c r="I96" s="373"/>
      <c r="J96" s="373"/>
      <c r="K96" s="271">
        <v>0</v>
      </c>
    </row>
    <row r="97" spans="1:11" s="302" customFormat="1" ht="18.75">
      <c r="A97" s="269" t="s">
        <v>911</v>
      </c>
      <c r="B97" s="352" t="s">
        <v>1106</v>
      </c>
      <c r="C97" s="268" t="s">
        <v>904</v>
      </c>
      <c r="D97" s="318"/>
      <c r="E97" s="360"/>
      <c r="F97" s="360"/>
      <c r="G97" s="372"/>
      <c r="H97" s="373"/>
      <c r="I97" s="373"/>
      <c r="J97" s="373"/>
      <c r="K97" s="271">
        <v>0</v>
      </c>
    </row>
    <row r="98" spans="1:11" s="302" customFormat="1" ht="18.75">
      <c r="A98" s="274" t="s">
        <v>174</v>
      </c>
      <c r="B98" s="275" t="s">
        <v>114</v>
      </c>
      <c r="C98" s="276" t="s">
        <v>904</v>
      </c>
      <c r="D98" s="376">
        <v>0</v>
      </c>
      <c r="E98" s="377">
        <v>0</v>
      </c>
      <c r="F98" s="360"/>
      <c r="G98" s="372">
        <v>0</v>
      </c>
      <c r="H98" s="373">
        <v>0</v>
      </c>
      <c r="I98" s="373">
        <v>0</v>
      </c>
      <c r="J98" s="373">
        <v>0</v>
      </c>
      <c r="K98" s="271">
        <v>0</v>
      </c>
    </row>
    <row r="99" spans="1:11" s="302" customFormat="1" ht="18.75">
      <c r="A99" s="269" t="s">
        <v>201</v>
      </c>
      <c r="B99" s="354" t="s">
        <v>63</v>
      </c>
      <c r="C99" s="268" t="s">
        <v>904</v>
      </c>
      <c r="D99" s="318"/>
      <c r="E99" s="360"/>
      <c r="F99" s="360"/>
      <c r="G99" s="372"/>
      <c r="H99" s="373"/>
      <c r="I99" s="373"/>
      <c r="J99" s="373"/>
      <c r="K99" s="271">
        <v>0</v>
      </c>
    </row>
    <row r="100" spans="1:11" s="302" customFormat="1" ht="18.75">
      <c r="A100" s="269" t="s">
        <v>202</v>
      </c>
      <c r="B100" s="342" t="s">
        <v>1097</v>
      </c>
      <c r="C100" s="268" t="s">
        <v>904</v>
      </c>
      <c r="D100" s="318"/>
      <c r="E100" s="360"/>
      <c r="F100" s="360"/>
      <c r="G100" s="372"/>
      <c r="H100" s="373"/>
      <c r="I100" s="373"/>
      <c r="J100" s="373"/>
      <c r="K100" s="271">
        <v>0</v>
      </c>
    </row>
    <row r="101" spans="1:11" s="302" customFormat="1" ht="18.75">
      <c r="A101" s="269" t="s">
        <v>203</v>
      </c>
      <c r="B101" s="342" t="s">
        <v>1098</v>
      </c>
      <c r="C101" s="268" t="s">
        <v>904</v>
      </c>
      <c r="D101" s="318"/>
      <c r="E101" s="360"/>
      <c r="F101" s="360"/>
      <c r="G101" s="372"/>
      <c r="H101" s="373"/>
      <c r="I101" s="373"/>
      <c r="J101" s="373"/>
      <c r="K101" s="271">
        <v>0</v>
      </c>
    </row>
    <row r="102" spans="1:11" s="302" customFormat="1" ht="18.75">
      <c r="A102" s="269" t="s">
        <v>219</v>
      </c>
      <c r="B102" s="342" t="s">
        <v>64</v>
      </c>
      <c r="C102" s="268" t="s">
        <v>904</v>
      </c>
      <c r="D102" s="318"/>
      <c r="E102" s="360"/>
      <c r="F102" s="360"/>
      <c r="G102" s="372"/>
      <c r="H102" s="373"/>
      <c r="I102" s="373"/>
      <c r="J102" s="373"/>
      <c r="K102" s="271">
        <v>0</v>
      </c>
    </row>
    <row r="103" spans="1:11" s="302" customFormat="1" ht="18.75">
      <c r="A103" s="269" t="s">
        <v>675</v>
      </c>
      <c r="B103" s="344" t="s">
        <v>801</v>
      </c>
      <c r="C103" s="268" t="s">
        <v>904</v>
      </c>
      <c r="D103" s="318"/>
      <c r="E103" s="360"/>
      <c r="F103" s="360"/>
      <c r="G103" s="372"/>
      <c r="H103" s="373"/>
      <c r="I103" s="373"/>
      <c r="J103" s="373"/>
      <c r="K103" s="271">
        <v>0</v>
      </c>
    </row>
    <row r="104" spans="1:11" s="302" customFormat="1" ht="18.75">
      <c r="A104" s="269" t="s">
        <v>220</v>
      </c>
      <c r="B104" s="357" t="s">
        <v>1099</v>
      </c>
      <c r="C104" s="268" t="s">
        <v>904</v>
      </c>
      <c r="D104" s="318"/>
      <c r="E104" s="360"/>
      <c r="F104" s="360"/>
      <c r="G104" s="372"/>
      <c r="H104" s="373"/>
      <c r="I104" s="373"/>
      <c r="J104" s="373"/>
      <c r="K104" s="271">
        <v>0</v>
      </c>
    </row>
    <row r="105" spans="1:11" s="302" customFormat="1" ht="18.75">
      <c r="A105" s="269" t="s">
        <v>204</v>
      </c>
      <c r="B105" s="270" t="s">
        <v>62</v>
      </c>
      <c r="C105" s="268" t="s">
        <v>904</v>
      </c>
      <c r="D105" s="318"/>
      <c r="E105" s="360"/>
      <c r="F105" s="360"/>
      <c r="G105" s="372"/>
      <c r="H105" s="373"/>
      <c r="I105" s="373"/>
      <c r="J105" s="373"/>
      <c r="K105" s="271">
        <v>0</v>
      </c>
    </row>
    <row r="106" spans="1:11" s="302" customFormat="1" ht="18.75">
      <c r="A106" s="269" t="s">
        <v>676</v>
      </c>
      <c r="B106" s="357" t="s">
        <v>1100</v>
      </c>
      <c r="C106" s="268" t="s">
        <v>904</v>
      </c>
      <c r="D106" s="318"/>
      <c r="E106" s="360"/>
      <c r="F106" s="360"/>
      <c r="G106" s="372"/>
      <c r="H106" s="373"/>
      <c r="I106" s="373"/>
      <c r="J106" s="373"/>
      <c r="K106" s="271">
        <v>0</v>
      </c>
    </row>
    <row r="107" spans="1:11" s="302" customFormat="1" ht="18.75">
      <c r="A107" s="269" t="s">
        <v>677</v>
      </c>
      <c r="B107" s="357" t="s">
        <v>1101</v>
      </c>
      <c r="C107" s="268" t="s">
        <v>904</v>
      </c>
      <c r="D107" s="318"/>
      <c r="E107" s="360"/>
      <c r="F107" s="360"/>
      <c r="G107" s="372"/>
      <c r="H107" s="373"/>
      <c r="I107" s="373"/>
      <c r="J107" s="373"/>
      <c r="K107" s="271">
        <v>0</v>
      </c>
    </row>
    <row r="108" spans="1:11" s="302" customFormat="1" ht="18.75">
      <c r="A108" s="269" t="s">
        <v>678</v>
      </c>
      <c r="B108" s="357" t="s">
        <v>65</v>
      </c>
      <c r="C108" s="268" t="s">
        <v>904</v>
      </c>
      <c r="D108" s="318"/>
      <c r="E108" s="360"/>
      <c r="F108" s="360"/>
      <c r="G108" s="372"/>
      <c r="H108" s="373"/>
      <c r="I108" s="373"/>
      <c r="J108" s="373"/>
      <c r="K108" s="271">
        <v>0</v>
      </c>
    </row>
    <row r="109" spans="1:11" s="302" customFormat="1" ht="18.75">
      <c r="A109" s="269" t="s">
        <v>679</v>
      </c>
      <c r="B109" s="344" t="s">
        <v>802</v>
      </c>
      <c r="C109" s="268" t="s">
        <v>904</v>
      </c>
      <c r="D109" s="318"/>
      <c r="E109" s="360"/>
      <c r="F109" s="360"/>
      <c r="G109" s="372"/>
      <c r="H109" s="373"/>
      <c r="I109" s="373"/>
      <c r="J109" s="373"/>
      <c r="K109" s="271">
        <v>0</v>
      </c>
    </row>
    <row r="110" spans="1:11" s="302" customFormat="1" ht="18.75">
      <c r="A110" s="269" t="s">
        <v>680</v>
      </c>
      <c r="B110" s="357" t="s">
        <v>1102</v>
      </c>
      <c r="C110" s="268" t="s">
        <v>904</v>
      </c>
      <c r="D110" s="318"/>
      <c r="E110" s="360"/>
      <c r="F110" s="360"/>
      <c r="G110" s="372"/>
      <c r="H110" s="373"/>
      <c r="I110" s="373"/>
      <c r="J110" s="373"/>
      <c r="K110" s="271">
        <v>0</v>
      </c>
    </row>
    <row r="111" spans="1:11" s="302" customFormat="1" ht="31.5">
      <c r="A111" s="274" t="s">
        <v>175</v>
      </c>
      <c r="B111" s="275" t="s">
        <v>119</v>
      </c>
      <c r="C111" s="276" t="s">
        <v>904</v>
      </c>
      <c r="D111" s="380">
        <f>D83+D98</f>
        <v>-31.830709823999968</v>
      </c>
      <c r="E111" s="380">
        <f>E83+E98</f>
        <v>0</v>
      </c>
      <c r="F111" s="412">
        <v>-107.41249181133341</v>
      </c>
      <c r="G111" s="411">
        <v>0</v>
      </c>
      <c r="H111" s="411">
        <v>0</v>
      </c>
      <c r="I111" s="411">
        <v>0</v>
      </c>
      <c r="J111" s="411">
        <v>0</v>
      </c>
      <c r="K111" s="271">
        <v>-107.41249181133341</v>
      </c>
    </row>
    <row r="112" spans="1:11" s="302" customFormat="1" ht="31.5">
      <c r="A112" s="269" t="s">
        <v>207</v>
      </c>
      <c r="B112" s="354" t="s">
        <v>1107</v>
      </c>
      <c r="C112" s="268" t="s">
        <v>904</v>
      </c>
      <c r="D112" s="318"/>
      <c r="E112" s="360"/>
      <c r="F112" s="360"/>
      <c r="G112" s="372"/>
      <c r="H112" s="373"/>
      <c r="I112" s="373"/>
      <c r="J112" s="373"/>
      <c r="K112" s="277">
        <f>SUM(F112:J112)</f>
        <v>0</v>
      </c>
    </row>
    <row r="113" spans="1:11" s="302" customFormat="1" ht="31.5">
      <c r="A113" s="269" t="s">
        <v>1044</v>
      </c>
      <c r="B113" s="342" t="s">
        <v>1057</v>
      </c>
      <c r="C113" s="268" t="s">
        <v>904</v>
      </c>
      <c r="D113" s="318"/>
      <c r="E113" s="360"/>
      <c r="F113" s="360"/>
      <c r="G113" s="372"/>
      <c r="H113" s="373"/>
      <c r="I113" s="373"/>
      <c r="J113" s="373"/>
      <c r="K113" s="277">
        <f aca="true" t="shared" si="0" ref="K113:K161">SUM(F113:J113)</f>
        <v>0</v>
      </c>
    </row>
    <row r="114" spans="1:11" s="302" customFormat="1" ht="31.5">
      <c r="A114" s="269" t="s">
        <v>1045</v>
      </c>
      <c r="B114" s="342" t="s">
        <v>1058</v>
      </c>
      <c r="C114" s="268" t="s">
        <v>904</v>
      </c>
      <c r="D114" s="318"/>
      <c r="E114" s="360"/>
      <c r="F114" s="360"/>
      <c r="G114" s="372"/>
      <c r="H114" s="373"/>
      <c r="I114" s="373"/>
      <c r="J114" s="373"/>
      <c r="K114" s="277">
        <f t="shared" si="0"/>
        <v>0</v>
      </c>
    </row>
    <row r="115" spans="1:11" s="302" customFormat="1" ht="31.5">
      <c r="A115" s="269" t="s">
        <v>26</v>
      </c>
      <c r="B115" s="342" t="s">
        <v>1043</v>
      </c>
      <c r="C115" s="268" t="s">
        <v>904</v>
      </c>
      <c r="D115" s="318"/>
      <c r="E115" s="360"/>
      <c r="F115" s="360"/>
      <c r="G115" s="372"/>
      <c r="H115" s="373"/>
      <c r="I115" s="373"/>
      <c r="J115" s="373"/>
      <c r="K115" s="277">
        <f t="shared" si="0"/>
        <v>0</v>
      </c>
    </row>
    <row r="116" spans="1:11" s="302" customFormat="1" ht="18.75">
      <c r="A116" s="269" t="s">
        <v>208</v>
      </c>
      <c r="B116" s="352" t="s">
        <v>96</v>
      </c>
      <c r="C116" s="268" t="s">
        <v>904</v>
      </c>
      <c r="D116" s="318"/>
      <c r="E116" s="360"/>
      <c r="F116" s="360"/>
      <c r="G116" s="372"/>
      <c r="H116" s="373"/>
      <c r="I116" s="373"/>
      <c r="J116" s="373"/>
      <c r="K116" s="277">
        <f t="shared" si="0"/>
        <v>0</v>
      </c>
    </row>
    <row r="117" spans="1:11" s="302" customFormat="1" ht="18.75">
      <c r="A117" s="269" t="s">
        <v>912</v>
      </c>
      <c r="B117" s="352" t="s">
        <v>1103</v>
      </c>
      <c r="C117" s="268" t="s">
        <v>904</v>
      </c>
      <c r="D117" s="318"/>
      <c r="E117" s="360"/>
      <c r="F117" s="360"/>
      <c r="G117" s="372"/>
      <c r="H117" s="373"/>
      <c r="I117" s="373"/>
      <c r="J117" s="373"/>
      <c r="K117" s="277">
        <f t="shared" si="0"/>
        <v>0</v>
      </c>
    </row>
    <row r="118" spans="1:11" s="302" customFormat="1" ht="18.75">
      <c r="A118" s="269" t="s">
        <v>913</v>
      </c>
      <c r="B118" s="352" t="s">
        <v>97</v>
      </c>
      <c r="C118" s="268" t="s">
        <v>904</v>
      </c>
      <c r="D118" s="318"/>
      <c r="E118" s="360"/>
      <c r="F118" s="360"/>
      <c r="G118" s="372"/>
      <c r="H118" s="373"/>
      <c r="I118" s="373"/>
      <c r="J118" s="373"/>
      <c r="K118" s="277">
        <f t="shared" si="0"/>
        <v>0</v>
      </c>
    </row>
    <row r="119" spans="1:11" s="302" customFormat="1" ht="18.75">
      <c r="A119" s="269" t="s">
        <v>914</v>
      </c>
      <c r="B119" s="352" t="s">
        <v>1104</v>
      </c>
      <c r="C119" s="268" t="s">
        <v>904</v>
      </c>
      <c r="D119" s="318"/>
      <c r="E119" s="360"/>
      <c r="F119" s="360"/>
      <c r="G119" s="372"/>
      <c r="H119" s="373"/>
      <c r="I119" s="373"/>
      <c r="J119" s="373"/>
      <c r="K119" s="277">
        <f t="shared" si="0"/>
        <v>0</v>
      </c>
    </row>
    <row r="120" spans="1:11" s="302" customFormat="1" ht="18.75">
      <c r="A120" s="269" t="s">
        <v>915</v>
      </c>
      <c r="B120" s="352" t="s">
        <v>1105</v>
      </c>
      <c r="C120" s="268" t="s">
        <v>904</v>
      </c>
      <c r="D120" s="318"/>
      <c r="E120" s="360"/>
      <c r="F120" s="360"/>
      <c r="G120" s="372"/>
      <c r="H120" s="373"/>
      <c r="I120" s="373"/>
      <c r="J120" s="373"/>
      <c r="K120" s="277">
        <f t="shared" si="0"/>
        <v>0</v>
      </c>
    </row>
    <row r="121" spans="1:11" s="302" customFormat="1" ht="18.75">
      <c r="A121" s="269" t="s">
        <v>916</v>
      </c>
      <c r="B121" s="352" t="s">
        <v>104</v>
      </c>
      <c r="C121" s="268" t="s">
        <v>904</v>
      </c>
      <c r="D121" s="318"/>
      <c r="E121" s="360"/>
      <c r="F121" s="360"/>
      <c r="G121" s="372"/>
      <c r="H121" s="373"/>
      <c r="I121" s="373"/>
      <c r="J121" s="373"/>
      <c r="K121" s="277">
        <f t="shared" si="0"/>
        <v>0</v>
      </c>
    </row>
    <row r="122" spans="1:11" s="302" customFormat="1" ht="31.5">
      <c r="A122" s="269" t="s">
        <v>917</v>
      </c>
      <c r="B122" s="354" t="s">
        <v>974</v>
      </c>
      <c r="C122" s="268" t="s">
        <v>904</v>
      </c>
      <c r="D122" s="318"/>
      <c r="E122" s="360"/>
      <c r="F122" s="360"/>
      <c r="G122" s="372"/>
      <c r="H122" s="373"/>
      <c r="I122" s="373"/>
      <c r="J122" s="373"/>
      <c r="K122" s="277">
        <f t="shared" si="0"/>
        <v>0</v>
      </c>
    </row>
    <row r="123" spans="1:11" s="302" customFormat="1" ht="18.75">
      <c r="A123" s="269" t="s">
        <v>27</v>
      </c>
      <c r="B123" s="357" t="s">
        <v>798</v>
      </c>
      <c r="C123" s="268" t="s">
        <v>904</v>
      </c>
      <c r="D123" s="318"/>
      <c r="E123" s="360"/>
      <c r="F123" s="360"/>
      <c r="G123" s="372"/>
      <c r="H123" s="373"/>
      <c r="I123" s="373"/>
      <c r="J123" s="373"/>
      <c r="K123" s="277">
        <f t="shared" si="0"/>
        <v>0</v>
      </c>
    </row>
    <row r="124" spans="1:11" s="302" customFormat="1" ht="18.75">
      <c r="A124" s="269" t="s">
        <v>28</v>
      </c>
      <c r="B124" s="357" t="s">
        <v>786</v>
      </c>
      <c r="C124" s="268" t="s">
        <v>904</v>
      </c>
      <c r="D124" s="318"/>
      <c r="E124" s="360"/>
      <c r="F124" s="360"/>
      <c r="G124" s="372"/>
      <c r="H124" s="373"/>
      <c r="I124" s="373"/>
      <c r="J124" s="373"/>
      <c r="K124" s="277">
        <f t="shared" si="0"/>
        <v>0</v>
      </c>
    </row>
    <row r="125" spans="1:11" s="302" customFormat="1" ht="18.75">
      <c r="A125" s="269" t="s">
        <v>918</v>
      </c>
      <c r="B125" s="352" t="s">
        <v>1106</v>
      </c>
      <c r="C125" s="268" t="s">
        <v>904</v>
      </c>
      <c r="D125" s="318"/>
      <c r="E125" s="360"/>
      <c r="F125" s="360"/>
      <c r="G125" s="372"/>
      <c r="H125" s="373"/>
      <c r="I125" s="373"/>
      <c r="J125" s="373"/>
      <c r="K125" s="271">
        <f t="shared" si="0"/>
        <v>0</v>
      </c>
    </row>
    <row r="126" spans="1:11" s="302" customFormat="1" ht="18.75">
      <c r="A126" s="274" t="s">
        <v>176</v>
      </c>
      <c r="B126" s="275" t="s">
        <v>66</v>
      </c>
      <c r="C126" s="276" t="s">
        <v>904</v>
      </c>
      <c r="D126" s="368">
        <f>D134</f>
        <v>2.1142950440000003</v>
      </c>
      <c r="E126" s="368">
        <f>E134</f>
        <v>0</v>
      </c>
      <c r="F126" s="423">
        <v>2.1654</v>
      </c>
      <c r="G126" s="423">
        <v>0</v>
      </c>
      <c r="H126" s="423">
        <v>0</v>
      </c>
      <c r="I126" s="423">
        <v>0</v>
      </c>
      <c r="J126" s="423">
        <v>0</v>
      </c>
      <c r="K126" s="443">
        <v>2.1654</v>
      </c>
    </row>
    <row r="127" spans="1:11" s="302" customFormat="1" ht="18.75">
      <c r="A127" s="269" t="s">
        <v>172</v>
      </c>
      <c r="B127" s="352" t="s">
        <v>57</v>
      </c>
      <c r="C127" s="268" t="s">
        <v>904</v>
      </c>
      <c r="D127" s="318"/>
      <c r="E127" s="360"/>
      <c r="F127" s="381"/>
      <c r="G127" s="382"/>
      <c r="H127" s="383"/>
      <c r="I127" s="383"/>
      <c r="J127" s="383"/>
      <c r="K127" s="443"/>
    </row>
    <row r="128" spans="1:11" s="302" customFormat="1" ht="31.5">
      <c r="A128" s="269" t="s">
        <v>53</v>
      </c>
      <c r="B128" s="342" t="s">
        <v>1057</v>
      </c>
      <c r="C128" s="268" t="s">
        <v>904</v>
      </c>
      <c r="D128" s="318"/>
      <c r="E128" s="360"/>
      <c r="F128" s="381"/>
      <c r="G128" s="382"/>
      <c r="H128" s="383"/>
      <c r="I128" s="383"/>
      <c r="J128" s="383"/>
      <c r="K128" s="443"/>
    </row>
    <row r="129" spans="1:11" s="302" customFormat="1" ht="31.5">
      <c r="A129" s="269" t="s">
        <v>54</v>
      </c>
      <c r="B129" s="342" t="s">
        <v>1058</v>
      </c>
      <c r="C129" s="268" t="s">
        <v>904</v>
      </c>
      <c r="D129" s="318"/>
      <c r="E129" s="360"/>
      <c r="F129" s="381"/>
      <c r="G129" s="382"/>
      <c r="H129" s="383"/>
      <c r="I129" s="383"/>
      <c r="J129" s="383"/>
      <c r="K129" s="443"/>
    </row>
    <row r="130" spans="1:11" s="302" customFormat="1" ht="31.5">
      <c r="A130" s="269" t="s">
        <v>55</v>
      </c>
      <c r="B130" s="342" t="s">
        <v>1043</v>
      </c>
      <c r="C130" s="268" t="s">
        <v>904</v>
      </c>
      <c r="D130" s="318"/>
      <c r="E130" s="360"/>
      <c r="F130" s="381"/>
      <c r="G130" s="382"/>
      <c r="H130" s="383"/>
      <c r="I130" s="383"/>
      <c r="J130" s="383"/>
      <c r="K130" s="443"/>
    </row>
    <row r="131" spans="1:11" s="302" customFormat="1" ht="18.75">
      <c r="A131" s="269" t="s">
        <v>963</v>
      </c>
      <c r="B131" s="270" t="s">
        <v>105</v>
      </c>
      <c r="C131" s="268" t="s">
        <v>904</v>
      </c>
      <c r="D131" s="318"/>
      <c r="E131" s="360"/>
      <c r="F131" s="381"/>
      <c r="G131" s="382"/>
      <c r="H131" s="383"/>
      <c r="I131" s="383"/>
      <c r="J131" s="383"/>
      <c r="K131" s="443"/>
    </row>
    <row r="132" spans="1:11" s="302" customFormat="1" ht="18.75">
      <c r="A132" s="269" t="s">
        <v>964</v>
      </c>
      <c r="B132" s="270" t="s">
        <v>971</v>
      </c>
      <c r="C132" s="268" t="s">
        <v>904</v>
      </c>
      <c r="D132" s="318"/>
      <c r="E132" s="360"/>
      <c r="F132" s="382">
        <v>2.1654</v>
      </c>
      <c r="G132" s="382"/>
      <c r="H132" s="383"/>
      <c r="I132" s="383"/>
      <c r="J132" s="383"/>
      <c r="K132" s="443">
        <v>2.1654</v>
      </c>
    </row>
    <row r="133" spans="1:11" s="302" customFormat="1" ht="18.75">
      <c r="A133" s="269" t="s">
        <v>965</v>
      </c>
      <c r="B133" s="270" t="s">
        <v>99</v>
      </c>
      <c r="C133" s="268" t="s">
        <v>904</v>
      </c>
      <c r="D133" s="318"/>
      <c r="E133" s="360"/>
      <c r="F133" s="381"/>
      <c r="G133" s="382"/>
      <c r="H133" s="383"/>
      <c r="I133" s="383"/>
      <c r="J133" s="383"/>
      <c r="K133" s="443"/>
    </row>
    <row r="134" spans="1:11" s="302" customFormat="1" ht="18.75">
      <c r="A134" s="269" t="s">
        <v>966</v>
      </c>
      <c r="B134" s="270" t="s">
        <v>972</v>
      </c>
      <c r="C134" s="268" t="s">
        <v>904</v>
      </c>
      <c r="D134" s="301">
        <f>D91*0.2</f>
        <v>2.1142950440000003</v>
      </c>
      <c r="E134" s="360"/>
      <c r="F134" s="360"/>
      <c r="G134" s="372"/>
      <c r="H134" s="373"/>
      <c r="I134" s="373"/>
      <c r="J134" s="373"/>
      <c r="K134" s="271">
        <f t="shared" si="0"/>
        <v>0</v>
      </c>
    </row>
    <row r="135" spans="1:11" s="302" customFormat="1" ht="18.75">
      <c r="A135" s="269" t="s">
        <v>967</v>
      </c>
      <c r="B135" s="270" t="s">
        <v>973</v>
      </c>
      <c r="C135" s="268" t="s">
        <v>904</v>
      </c>
      <c r="D135" s="318"/>
      <c r="E135" s="360"/>
      <c r="F135" s="360"/>
      <c r="G135" s="372"/>
      <c r="H135" s="373"/>
      <c r="I135" s="373"/>
      <c r="J135" s="373"/>
      <c r="K135" s="271">
        <f t="shared" si="0"/>
        <v>0</v>
      </c>
    </row>
    <row r="136" spans="1:11" s="302" customFormat="1" ht="18.75">
      <c r="A136" s="269" t="s">
        <v>968</v>
      </c>
      <c r="B136" s="270" t="s">
        <v>106</v>
      </c>
      <c r="C136" s="268" t="s">
        <v>904</v>
      </c>
      <c r="D136" s="318"/>
      <c r="E136" s="360"/>
      <c r="F136" s="360"/>
      <c r="G136" s="372"/>
      <c r="H136" s="373"/>
      <c r="I136" s="373"/>
      <c r="J136" s="373"/>
      <c r="K136" s="271">
        <f t="shared" si="0"/>
        <v>0</v>
      </c>
    </row>
    <row r="137" spans="1:11" s="302" customFormat="1" ht="31.5">
      <c r="A137" s="269" t="s">
        <v>969</v>
      </c>
      <c r="B137" s="270" t="s">
        <v>974</v>
      </c>
      <c r="C137" s="268" t="s">
        <v>904</v>
      </c>
      <c r="D137" s="318"/>
      <c r="E137" s="360"/>
      <c r="F137" s="360"/>
      <c r="G137" s="372"/>
      <c r="H137" s="373"/>
      <c r="I137" s="373"/>
      <c r="J137" s="373"/>
      <c r="K137" s="271">
        <f t="shared" si="0"/>
        <v>0</v>
      </c>
    </row>
    <row r="138" spans="1:11" s="302" customFormat="1" ht="18.75">
      <c r="A138" s="269" t="s">
        <v>29</v>
      </c>
      <c r="B138" s="357" t="s">
        <v>975</v>
      </c>
      <c r="C138" s="268" t="s">
        <v>904</v>
      </c>
      <c r="D138" s="318"/>
      <c r="E138" s="360"/>
      <c r="F138" s="360"/>
      <c r="G138" s="372"/>
      <c r="H138" s="373"/>
      <c r="I138" s="373"/>
      <c r="J138" s="373"/>
      <c r="K138" s="271">
        <f t="shared" si="0"/>
        <v>0</v>
      </c>
    </row>
    <row r="139" spans="1:11" s="302" customFormat="1" ht="18.75">
      <c r="A139" s="269" t="s">
        <v>30</v>
      </c>
      <c r="B139" s="357" t="s">
        <v>786</v>
      </c>
      <c r="C139" s="268" t="s">
        <v>904</v>
      </c>
      <c r="D139" s="318"/>
      <c r="E139" s="360"/>
      <c r="F139" s="360"/>
      <c r="G139" s="372"/>
      <c r="H139" s="373"/>
      <c r="I139" s="373"/>
      <c r="J139" s="373"/>
      <c r="K139" s="271">
        <f t="shared" si="0"/>
        <v>0</v>
      </c>
    </row>
    <row r="140" spans="1:11" s="302" customFormat="1" ht="18.75">
      <c r="A140" s="269" t="s">
        <v>970</v>
      </c>
      <c r="B140" s="270" t="s">
        <v>976</v>
      </c>
      <c r="C140" s="268" t="s">
        <v>904</v>
      </c>
      <c r="D140" s="318"/>
      <c r="E140" s="360"/>
      <c r="F140" s="360"/>
      <c r="G140" s="372"/>
      <c r="H140" s="373"/>
      <c r="I140" s="373"/>
      <c r="J140" s="373"/>
      <c r="K140" s="271">
        <f t="shared" si="0"/>
        <v>0</v>
      </c>
    </row>
    <row r="141" spans="1:11" s="302" customFormat="1" ht="18.75">
      <c r="A141" s="274" t="s">
        <v>178</v>
      </c>
      <c r="B141" s="275" t="s">
        <v>120</v>
      </c>
      <c r="C141" s="276" t="s">
        <v>904</v>
      </c>
      <c r="D141" s="384">
        <f>D111-D126</f>
        <v>-33.94500486799997</v>
      </c>
      <c r="E141" s="384">
        <f>E111-E126</f>
        <v>0</v>
      </c>
      <c r="F141" s="444">
        <v>-109.57789181133342</v>
      </c>
      <c r="G141" s="385">
        <v>0</v>
      </c>
      <c r="H141" s="385">
        <v>0</v>
      </c>
      <c r="I141" s="385">
        <v>0</v>
      </c>
      <c r="J141" s="385">
        <v>0</v>
      </c>
      <c r="K141" s="271">
        <v>-109.57789181133342</v>
      </c>
    </row>
    <row r="142" spans="1:11" s="302" customFormat="1" ht="18.75">
      <c r="A142" s="269" t="s">
        <v>196</v>
      </c>
      <c r="B142" s="352" t="s">
        <v>57</v>
      </c>
      <c r="C142" s="268" t="s">
        <v>904</v>
      </c>
      <c r="D142" s="318"/>
      <c r="E142" s="360"/>
      <c r="F142" s="360"/>
      <c r="G142" s="372"/>
      <c r="H142" s="373"/>
      <c r="I142" s="373"/>
      <c r="J142" s="373"/>
      <c r="K142" s="277">
        <f t="shared" si="0"/>
        <v>0</v>
      </c>
    </row>
    <row r="143" spans="1:11" s="302" customFormat="1" ht="31.5">
      <c r="A143" s="269" t="s">
        <v>1059</v>
      </c>
      <c r="B143" s="342" t="s">
        <v>1057</v>
      </c>
      <c r="C143" s="268" t="s">
        <v>904</v>
      </c>
      <c r="D143" s="318"/>
      <c r="E143" s="360"/>
      <c r="F143" s="360"/>
      <c r="G143" s="372"/>
      <c r="H143" s="373"/>
      <c r="I143" s="373"/>
      <c r="J143" s="373"/>
      <c r="K143" s="277">
        <f t="shared" si="0"/>
        <v>0</v>
      </c>
    </row>
    <row r="144" spans="1:11" s="302" customFormat="1" ht="31.5">
      <c r="A144" s="269" t="s">
        <v>1060</v>
      </c>
      <c r="B144" s="342" t="s">
        <v>1058</v>
      </c>
      <c r="C144" s="268" t="s">
        <v>904</v>
      </c>
      <c r="D144" s="318"/>
      <c r="E144" s="360"/>
      <c r="F144" s="360"/>
      <c r="G144" s="372"/>
      <c r="H144" s="373"/>
      <c r="I144" s="373"/>
      <c r="J144" s="373"/>
      <c r="K144" s="277">
        <f t="shared" si="0"/>
        <v>0</v>
      </c>
    </row>
    <row r="145" spans="1:11" s="302" customFormat="1" ht="31.5">
      <c r="A145" s="269" t="s">
        <v>31</v>
      </c>
      <c r="B145" s="342" t="s">
        <v>1043</v>
      </c>
      <c r="C145" s="268" t="s">
        <v>904</v>
      </c>
      <c r="D145" s="318"/>
      <c r="E145" s="360"/>
      <c r="F145" s="360"/>
      <c r="G145" s="372"/>
      <c r="H145" s="373"/>
      <c r="I145" s="373"/>
      <c r="J145" s="373"/>
      <c r="K145" s="277">
        <f t="shared" si="0"/>
        <v>0</v>
      </c>
    </row>
    <row r="146" spans="1:11" s="302" customFormat="1" ht="18.75">
      <c r="A146" s="269" t="s">
        <v>197</v>
      </c>
      <c r="B146" s="352" t="s">
        <v>96</v>
      </c>
      <c r="C146" s="268" t="s">
        <v>904</v>
      </c>
      <c r="D146" s="318"/>
      <c r="E146" s="360"/>
      <c r="F146" s="360"/>
      <c r="G146" s="372"/>
      <c r="H146" s="373"/>
      <c r="I146" s="373"/>
      <c r="J146" s="373"/>
      <c r="K146" s="277">
        <f t="shared" si="0"/>
        <v>0</v>
      </c>
    </row>
    <row r="147" spans="1:11" s="302" customFormat="1" ht="18.75">
      <c r="A147" s="269" t="s">
        <v>919</v>
      </c>
      <c r="B147" s="352" t="s">
        <v>1103</v>
      </c>
      <c r="C147" s="268" t="s">
        <v>904</v>
      </c>
      <c r="D147" s="318"/>
      <c r="E147" s="360"/>
      <c r="F147" s="360"/>
      <c r="G147" s="372"/>
      <c r="H147" s="373"/>
      <c r="I147" s="373"/>
      <c r="J147" s="373"/>
      <c r="K147" s="277">
        <f t="shared" si="0"/>
        <v>0</v>
      </c>
    </row>
    <row r="148" spans="1:11" s="302" customFormat="1" ht="18.75">
      <c r="A148" s="269" t="s">
        <v>920</v>
      </c>
      <c r="B148" s="352" t="s">
        <v>97</v>
      </c>
      <c r="C148" s="268" t="s">
        <v>904</v>
      </c>
      <c r="D148" s="318"/>
      <c r="E148" s="360"/>
      <c r="F148" s="360"/>
      <c r="G148" s="372"/>
      <c r="H148" s="373"/>
      <c r="I148" s="373"/>
      <c r="J148" s="373"/>
      <c r="K148" s="277">
        <f t="shared" si="0"/>
        <v>0</v>
      </c>
    </row>
    <row r="149" spans="1:11" s="302" customFormat="1" ht="18.75">
      <c r="A149" s="269" t="s">
        <v>921</v>
      </c>
      <c r="B149" s="354" t="s">
        <v>1104</v>
      </c>
      <c r="C149" s="268" t="s">
        <v>904</v>
      </c>
      <c r="D149" s="318"/>
      <c r="E149" s="360"/>
      <c r="F149" s="360"/>
      <c r="G149" s="372"/>
      <c r="H149" s="373"/>
      <c r="I149" s="373"/>
      <c r="J149" s="373"/>
      <c r="K149" s="277">
        <f t="shared" si="0"/>
        <v>0</v>
      </c>
    </row>
    <row r="150" spans="1:11" s="302" customFormat="1" ht="18.75">
      <c r="A150" s="269" t="s">
        <v>922</v>
      </c>
      <c r="B150" s="352" t="s">
        <v>1105</v>
      </c>
      <c r="C150" s="268" t="s">
        <v>904</v>
      </c>
      <c r="D150" s="318"/>
      <c r="E150" s="360"/>
      <c r="F150" s="360"/>
      <c r="G150" s="372"/>
      <c r="H150" s="373"/>
      <c r="I150" s="373"/>
      <c r="J150" s="373"/>
      <c r="K150" s="277">
        <f t="shared" si="0"/>
        <v>0</v>
      </c>
    </row>
    <row r="151" spans="1:11" s="302" customFormat="1" ht="18.75">
      <c r="A151" s="269" t="s">
        <v>923</v>
      </c>
      <c r="B151" s="352" t="s">
        <v>104</v>
      </c>
      <c r="C151" s="268" t="s">
        <v>904</v>
      </c>
      <c r="D151" s="318"/>
      <c r="E151" s="360"/>
      <c r="F151" s="360"/>
      <c r="G151" s="372"/>
      <c r="H151" s="373"/>
      <c r="I151" s="373"/>
      <c r="J151" s="373"/>
      <c r="K151" s="277">
        <f t="shared" si="0"/>
        <v>0</v>
      </c>
    </row>
    <row r="152" spans="1:11" s="302" customFormat="1" ht="31.5">
      <c r="A152" s="269" t="s">
        <v>924</v>
      </c>
      <c r="B152" s="354" t="s">
        <v>974</v>
      </c>
      <c r="C152" s="268" t="s">
        <v>904</v>
      </c>
      <c r="D152" s="318"/>
      <c r="E152" s="360"/>
      <c r="F152" s="360"/>
      <c r="G152" s="372"/>
      <c r="H152" s="373"/>
      <c r="I152" s="373"/>
      <c r="J152" s="373"/>
      <c r="K152" s="277">
        <f t="shared" si="0"/>
        <v>0</v>
      </c>
    </row>
    <row r="153" spans="1:11" s="302" customFormat="1" ht="18.75">
      <c r="A153" s="269" t="s">
        <v>32</v>
      </c>
      <c r="B153" s="357" t="s">
        <v>798</v>
      </c>
      <c r="C153" s="268" t="s">
        <v>904</v>
      </c>
      <c r="D153" s="318"/>
      <c r="E153" s="360"/>
      <c r="F153" s="360"/>
      <c r="G153" s="372"/>
      <c r="H153" s="373"/>
      <c r="I153" s="373"/>
      <c r="J153" s="373"/>
      <c r="K153" s="277">
        <f t="shared" si="0"/>
        <v>0</v>
      </c>
    </row>
    <row r="154" spans="1:11" s="302" customFormat="1" ht="18.75">
      <c r="A154" s="269" t="s">
        <v>33</v>
      </c>
      <c r="B154" s="357" t="s">
        <v>786</v>
      </c>
      <c r="C154" s="268" t="s">
        <v>904</v>
      </c>
      <c r="D154" s="318"/>
      <c r="E154" s="360"/>
      <c r="F154" s="360"/>
      <c r="G154" s="372"/>
      <c r="H154" s="373"/>
      <c r="I154" s="373"/>
      <c r="J154" s="373"/>
      <c r="K154" s="277">
        <f t="shared" si="0"/>
        <v>0</v>
      </c>
    </row>
    <row r="155" spans="1:11" s="302" customFormat="1" ht="18.75">
      <c r="A155" s="269" t="s">
        <v>925</v>
      </c>
      <c r="B155" s="352" t="s">
        <v>1106</v>
      </c>
      <c r="C155" s="268" t="s">
        <v>904</v>
      </c>
      <c r="D155" s="318"/>
      <c r="E155" s="360"/>
      <c r="F155" s="360"/>
      <c r="G155" s="372"/>
      <c r="H155" s="373"/>
      <c r="I155" s="373"/>
      <c r="J155" s="373"/>
      <c r="K155" s="277">
        <f t="shared" si="0"/>
        <v>0</v>
      </c>
    </row>
    <row r="156" spans="1:11" s="302" customFormat="1" ht="18.75">
      <c r="A156" s="274" t="s">
        <v>179</v>
      </c>
      <c r="B156" s="275" t="s">
        <v>158</v>
      </c>
      <c r="C156" s="276" t="s">
        <v>904</v>
      </c>
      <c r="D156" s="376"/>
      <c r="E156" s="377"/>
      <c r="F156" s="377"/>
      <c r="G156" s="378"/>
      <c r="H156" s="379"/>
      <c r="I156" s="379"/>
      <c r="J156" s="379"/>
      <c r="K156" s="277">
        <f t="shared" si="0"/>
        <v>0</v>
      </c>
    </row>
    <row r="157" spans="1:11" s="302" customFormat="1" ht="18.75">
      <c r="A157" s="269" t="s">
        <v>199</v>
      </c>
      <c r="B157" s="270" t="s">
        <v>979</v>
      </c>
      <c r="C157" s="268" t="s">
        <v>904</v>
      </c>
      <c r="D157" s="318"/>
      <c r="E157" s="360"/>
      <c r="F157" s="360"/>
      <c r="G157" s="372"/>
      <c r="H157" s="373"/>
      <c r="I157" s="373"/>
      <c r="J157" s="373"/>
      <c r="K157" s="277">
        <f t="shared" si="0"/>
        <v>0</v>
      </c>
    </row>
    <row r="158" spans="1:11" s="302" customFormat="1" ht="18.75">
      <c r="A158" s="269" t="s">
        <v>200</v>
      </c>
      <c r="B158" s="270" t="s">
        <v>160</v>
      </c>
      <c r="C158" s="268" t="s">
        <v>904</v>
      </c>
      <c r="D158" s="318"/>
      <c r="E158" s="360"/>
      <c r="F158" s="360"/>
      <c r="G158" s="372"/>
      <c r="H158" s="373"/>
      <c r="I158" s="373"/>
      <c r="J158" s="373"/>
      <c r="K158" s="277">
        <f t="shared" si="0"/>
        <v>0</v>
      </c>
    </row>
    <row r="159" spans="1:11" s="302" customFormat="1" ht="18.75">
      <c r="A159" s="269" t="s">
        <v>212</v>
      </c>
      <c r="B159" s="270" t="s">
        <v>161</v>
      </c>
      <c r="C159" s="268" t="s">
        <v>904</v>
      </c>
      <c r="D159" s="318"/>
      <c r="E159" s="360"/>
      <c r="F159" s="360"/>
      <c r="G159" s="372"/>
      <c r="H159" s="373"/>
      <c r="I159" s="373"/>
      <c r="J159" s="373"/>
      <c r="K159" s="277">
        <f t="shared" si="0"/>
        <v>0</v>
      </c>
    </row>
    <row r="160" spans="1:11" s="302" customFormat="1" ht="18.75">
      <c r="A160" s="269" t="s">
        <v>213</v>
      </c>
      <c r="B160" s="270" t="s">
        <v>980</v>
      </c>
      <c r="C160" s="268" t="s">
        <v>904</v>
      </c>
      <c r="D160" s="318"/>
      <c r="E160" s="360"/>
      <c r="F160" s="360"/>
      <c r="G160" s="372"/>
      <c r="H160" s="373"/>
      <c r="I160" s="373"/>
      <c r="J160" s="373"/>
      <c r="K160" s="277">
        <f t="shared" si="0"/>
        <v>0</v>
      </c>
    </row>
    <row r="161" spans="1:11" s="302" customFormat="1" ht="18.75">
      <c r="A161" s="274" t="s">
        <v>683</v>
      </c>
      <c r="B161" s="275" t="s">
        <v>1023</v>
      </c>
      <c r="C161" s="276" t="s">
        <v>436</v>
      </c>
      <c r="D161" s="376"/>
      <c r="E161" s="377"/>
      <c r="F161" s="377"/>
      <c r="G161" s="378"/>
      <c r="H161" s="379"/>
      <c r="I161" s="379"/>
      <c r="J161" s="379"/>
      <c r="K161" s="277">
        <f t="shared" si="0"/>
        <v>0</v>
      </c>
    </row>
    <row r="162" spans="1:11" s="302" customFormat="1" ht="31.5">
      <c r="A162" s="269" t="s">
        <v>684</v>
      </c>
      <c r="B162" s="270" t="s">
        <v>115</v>
      </c>
      <c r="C162" s="268" t="s">
        <v>904</v>
      </c>
      <c r="D162" s="385">
        <f>D111+D71</f>
        <v>-31.509709823999966</v>
      </c>
      <c r="E162" s="385">
        <f>E111+E71</f>
        <v>0</v>
      </c>
      <c r="F162" s="386">
        <v>-106.4127416083334</v>
      </c>
      <c r="G162" s="386">
        <v>0.755</v>
      </c>
      <c r="H162" s="386">
        <v>1.584513733</v>
      </c>
      <c r="I162" s="386">
        <v>1.584513733</v>
      </c>
      <c r="J162" s="386">
        <v>1.584513733</v>
      </c>
      <c r="K162" s="445">
        <v>-100.90420040933343</v>
      </c>
    </row>
    <row r="163" spans="1:11" s="302" customFormat="1" ht="18.75">
      <c r="A163" s="269" t="s">
        <v>685</v>
      </c>
      <c r="B163" s="270" t="s">
        <v>67</v>
      </c>
      <c r="C163" s="268" t="s">
        <v>904</v>
      </c>
      <c r="D163" s="318"/>
      <c r="E163" s="360"/>
      <c r="F163" s="360"/>
      <c r="G163" s="372"/>
      <c r="H163" s="373"/>
      <c r="I163" s="373"/>
      <c r="J163" s="373"/>
      <c r="K163" s="271">
        <v>0</v>
      </c>
    </row>
    <row r="164" spans="1:11" s="302" customFormat="1" ht="18.75">
      <c r="A164" s="269" t="s">
        <v>1088</v>
      </c>
      <c r="B164" s="342" t="s">
        <v>1111</v>
      </c>
      <c r="C164" s="268" t="s">
        <v>904</v>
      </c>
      <c r="D164" s="318"/>
      <c r="E164" s="360"/>
      <c r="F164" s="360"/>
      <c r="G164" s="372"/>
      <c r="H164" s="373"/>
      <c r="I164" s="373"/>
      <c r="J164" s="373"/>
      <c r="K164" s="271">
        <v>0</v>
      </c>
    </row>
    <row r="165" spans="1:11" s="302" customFormat="1" ht="18.75">
      <c r="A165" s="269" t="s">
        <v>791</v>
      </c>
      <c r="B165" s="270" t="s">
        <v>121</v>
      </c>
      <c r="C165" s="268" t="s">
        <v>904</v>
      </c>
      <c r="D165" s="318"/>
      <c r="E165" s="360"/>
      <c r="F165" s="360"/>
      <c r="G165" s="372"/>
      <c r="H165" s="373"/>
      <c r="I165" s="373"/>
      <c r="J165" s="373"/>
      <c r="K165" s="271">
        <v>0</v>
      </c>
    </row>
    <row r="166" spans="1:11" s="302" customFormat="1" ht="18.75">
      <c r="A166" s="269" t="s">
        <v>1089</v>
      </c>
      <c r="B166" s="342" t="s">
        <v>1112</v>
      </c>
      <c r="C166" s="268" t="s">
        <v>904</v>
      </c>
      <c r="D166" s="318"/>
      <c r="E166" s="360"/>
      <c r="F166" s="360"/>
      <c r="G166" s="372"/>
      <c r="H166" s="373"/>
      <c r="I166" s="373"/>
      <c r="J166" s="373"/>
      <c r="K166" s="271">
        <v>0</v>
      </c>
    </row>
    <row r="167" spans="1:11" s="302" customFormat="1" ht="47.25">
      <c r="A167" s="269" t="s">
        <v>792</v>
      </c>
      <c r="B167" s="270" t="s">
        <v>122</v>
      </c>
      <c r="C167" s="268" t="s">
        <v>436</v>
      </c>
      <c r="D167" s="318"/>
      <c r="E167" s="360"/>
      <c r="F167" s="360"/>
      <c r="G167" s="372"/>
      <c r="H167" s="373"/>
      <c r="I167" s="373"/>
      <c r="J167" s="373"/>
      <c r="K167" s="271">
        <v>0</v>
      </c>
    </row>
    <row r="168" spans="1:11" s="302" customFormat="1" ht="18.75">
      <c r="A168" s="466" t="s">
        <v>682</v>
      </c>
      <c r="B168" s="466"/>
      <c r="C168" s="466"/>
      <c r="D168" s="466"/>
      <c r="E168" s="466"/>
      <c r="F168" s="466"/>
      <c r="G168" s="466"/>
      <c r="H168" s="466"/>
      <c r="I168" s="466"/>
      <c r="J168" s="466"/>
      <c r="K168" s="466"/>
    </row>
    <row r="169" spans="1:12" s="302" customFormat="1" ht="18.75">
      <c r="A169" s="274" t="s">
        <v>686</v>
      </c>
      <c r="B169" s="275" t="s">
        <v>68</v>
      </c>
      <c r="C169" s="276" t="s">
        <v>904</v>
      </c>
      <c r="D169" s="387">
        <f>D175+D177</f>
        <v>194.0380970396</v>
      </c>
      <c r="E169" s="388">
        <f>E175</f>
        <v>0</v>
      </c>
      <c r="F169" s="391">
        <v>265.38538871000003</v>
      </c>
      <c r="G169" s="391">
        <v>292.94056811655554</v>
      </c>
      <c r="H169" s="391">
        <v>298.92731796746665</v>
      </c>
      <c r="I169" s="391">
        <v>300.14594882191267</v>
      </c>
      <c r="J169" s="391">
        <v>301.3194552930204</v>
      </c>
      <c r="K169" s="446">
        <v>1458.7186789089553</v>
      </c>
      <c r="L169" s="319"/>
    </row>
    <row r="170" spans="1:11" s="302" customFormat="1" ht="18.75">
      <c r="A170" s="269" t="s">
        <v>687</v>
      </c>
      <c r="B170" s="352" t="s">
        <v>57</v>
      </c>
      <c r="C170" s="268" t="s">
        <v>904</v>
      </c>
      <c r="D170" s="318"/>
      <c r="E170" s="360"/>
      <c r="F170" s="361"/>
      <c r="G170" s="353"/>
      <c r="H170" s="356"/>
      <c r="I170" s="356"/>
      <c r="J170" s="356"/>
      <c r="K170" s="446">
        <v>0</v>
      </c>
    </row>
    <row r="171" spans="1:11" s="302" customFormat="1" ht="31.5">
      <c r="A171" s="269" t="s">
        <v>1046</v>
      </c>
      <c r="B171" s="342" t="s">
        <v>1057</v>
      </c>
      <c r="C171" s="268" t="s">
        <v>904</v>
      </c>
      <c r="D171" s="318"/>
      <c r="E171" s="360"/>
      <c r="F171" s="361"/>
      <c r="G171" s="353"/>
      <c r="H171" s="356"/>
      <c r="I171" s="356"/>
      <c r="J171" s="356"/>
      <c r="K171" s="446">
        <v>0</v>
      </c>
    </row>
    <row r="172" spans="1:11" s="302" customFormat="1" ht="31.5">
      <c r="A172" s="269" t="s">
        <v>1047</v>
      </c>
      <c r="B172" s="342" t="s">
        <v>1058</v>
      </c>
      <c r="C172" s="268" t="s">
        <v>904</v>
      </c>
      <c r="D172" s="318"/>
      <c r="E172" s="360"/>
      <c r="F172" s="361"/>
      <c r="G172" s="353"/>
      <c r="H172" s="356"/>
      <c r="I172" s="356"/>
      <c r="J172" s="356"/>
      <c r="K172" s="446">
        <v>0</v>
      </c>
    </row>
    <row r="173" spans="1:11" s="302" customFormat="1" ht="31.5">
      <c r="A173" s="269" t="s">
        <v>34</v>
      </c>
      <c r="B173" s="342" t="s">
        <v>1043</v>
      </c>
      <c r="C173" s="268" t="s">
        <v>904</v>
      </c>
      <c r="D173" s="318"/>
      <c r="E173" s="360"/>
      <c r="F173" s="361"/>
      <c r="G173" s="353"/>
      <c r="H173" s="356"/>
      <c r="I173" s="356"/>
      <c r="J173" s="356"/>
      <c r="K173" s="446">
        <v>0</v>
      </c>
    </row>
    <row r="174" spans="1:11" s="302" customFormat="1" ht="18.75">
      <c r="A174" s="269" t="s">
        <v>688</v>
      </c>
      <c r="B174" s="352" t="s">
        <v>96</v>
      </c>
      <c r="C174" s="268" t="s">
        <v>904</v>
      </c>
      <c r="D174" s="318"/>
      <c r="E174" s="360"/>
      <c r="F174" s="361"/>
      <c r="G174" s="353"/>
      <c r="H174" s="356"/>
      <c r="I174" s="356"/>
      <c r="J174" s="356"/>
      <c r="K174" s="446">
        <v>0</v>
      </c>
    </row>
    <row r="175" spans="1:15" s="302" customFormat="1" ht="18.75">
      <c r="A175" s="269" t="s">
        <v>803</v>
      </c>
      <c r="B175" s="291" t="s">
        <v>1103</v>
      </c>
      <c r="C175" s="290" t="s">
        <v>904</v>
      </c>
      <c r="D175" s="389">
        <f>45.05881754+69.01745643+53.85373715+13.63374516</f>
        <v>181.56375627999998</v>
      </c>
      <c r="E175" s="390">
        <f>E25*1.2*$L$169</f>
        <v>0</v>
      </c>
      <c r="F175" s="391">
        <v>264.07085568</v>
      </c>
      <c r="G175" s="391">
        <v>292.82056811655553</v>
      </c>
      <c r="H175" s="391">
        <v>298.81903223546664</v>
      </c>
      <c r="I175" s="391">
        <v>300.14594882191267</v>
      </c>
      <c r="J175" s="391">
        <v>301.3194552930204</v>
      </c>
      <c r="K175" s="446">
        <v>1457.1758601469553</v>
      </c>
      <c r="L175" s="320"/>
      <c r="M175" s="320"/>
      <c r="N175" s="320"/>
      <c r="O175" s="320"/>
    </row>
    <row r="176" spans="1:11" s="302" customFormat="1" ht="18.75">
      <c r="A176" s="269" t="s">
        <v>926</v>
      </c>
      <c r="B176" s="352" t="s">
        <v>97</v>
      </c>
      <c r="C176" s="268" t="s">
        <v>904</v>
      </c>
      <c r="D176" s="318"/>
      <c r="E176" s="360"/>
      <c r="F176" s="361"/>
      <c r="G176" s="353"/>
      <c r="H176" s="356"/>
      <c r="I176" s="356"/>
      <c r="J176" s="356"/>
      <c r="K176" s="446">
        <v>0</v>
      </c>
    </row>
    <row r="177" spans="1:11" s="302" customFormat="1" ht="18.75">
      <c r="A177" s="269" t="s">
        <v>927</v>
      </c>
      <c r="B177" s="352" t="s">
        <v>1104</v>
      </c>
      <c r="C177" s="268" t="s">
        <v>904</v>
      </c>
      <c r="D177" s="301">
        <f>D91*1.18</f>
        <v>12.474340759600002</v>
      </c>
      <c r="E177" s="360"/>
      <c r="F177" s="361">
        <v>1.31453303</v>
      </c>
      <c r="G177" s="353">
        <v>0.12</v>
      </c>
      <c r="H177" s="353">
        <v>0.108285732</v>
      </c>
      <c r="I177" s="356">
        <v>0</v>
      </c>
      <c r="J177" s="356">
        <v>0</v>
      </c>
      <c r="K177" s="446">
        <v>1.5428187619999998</v>
      </c>
    </row>
    <row r="178" spans="1:11" s="302" customFormat="1" ht="18.75">
      <c r="A178" s="269" t="s">
        <v>928</v>
      </c>
      <c r="B178" s="352" t="s">
        <v>1105</v>
      </c>
      <c r="C178" s="268" t="s">
        <v>904</v>
      </c>
      <c r="D178" s="318"/>
      <c r="E178" s="360"/>
      <c r="F178" s="361"/>
      <c r="G178" s="353"/>
      <c r="H178" s="356"/>
      <c r="I178" s="356"/>
      <c r="J178" s="356"/>
      <c r="K178" s="446">
        <v>0</v>
      </c>
    </row>
    <row r="179" spans="1:11" s="302" customFormat="1" ht="18.75">
      <c r="A179" s="269" t="s">
        <v>929</v>
      </c>
      <c r="B179" s="352" t="s">
        <v>104</v>
      </c>
      <c r="C179" s="268" t="s">
        <v>904</v>
      </c>
      <c r="D179" s="318"/>
      <c r="E179" s="360"/>
      <c r="F179" s="361"/>
      <c r="G179" s="353"/>
      <c r="H179" s="356"/>
      <c r="I179" s="356"/>
      <c r="J179" s="356"/>
      <c r="K179" s="387">
        <v>0</v>
      </c>
    </row>
    <row r="180" spans="1:11" s="302" customFormat="1" ht="31.5">
      <c r="A180" s="269" t="s">
        <v>930</v>
      </c>
      <c r="B180" s="354" t="s">
        <v>974</v>
      </c>
      <c r="C180" s="268" t="s">
        <v>904</v>
      </c>
      <c r="D180" s="318"/>
      <c r="E180" s="360"/>
      <c r="F180" s="361"/>
      <c r="G180" s="353"/>
      <c r="H180" s="356"/>
      <c r="I180" s="356"/>
      <c r="J180" s="356"/>
      <c r="K180" s="387">
        <v>0</v>
      </c>
    </row>
    <row r="181" spans="1:11" s="302" customFormat="1" ht="18.75">
      <c r="A181" s="269" t="s">
        <v>35</v>
      </c>
      <c r="B181" s="357" t="s">
        <v>798</v>
      </c>
      <c r="C181" s="268" t="s">
        <v>904</v>
      </c>
      <c r="D181" s="318"/>
      <c r="E181" s="360"/>
      <c r="F181" s="361"/>
      <c r="G181" s="353"/>
      <c r="H181" s="356"/>
      <c r="I181" s="356"/>
      <c r="J181" s="356"/>
      <c r="K181" s="387">
        <v>0</v>
      </c>
    </row>
    <row r="182" spans="1:11" s="302" customFormat="1" ht="18.75">
      <c r="A182" s="269" t="s">
        <v>36</v>
      </c>
      <c r="B182" s="357" t="s">
        <v>786</v>
      </c>
      <c r="C182" s="268" t="s">
        <v>904</v>
      </c>
      <c r="D182" s="318"/>
      <c r="E182" s="360"/>
      <c r="F182" s="361"/>
      <c r="G182" s="353"/>
      <c r="H182" s="356"/>
      <c r="I182" s="356"/>
      <c r="J182" s="356"/>
      <c r="K182" s="387">
        <v>0</v>
      </c>
    </row>
    <row r="183" spans="1:12" s="302" customFormat="1" ht="31.5">
      <c r="A183" s="269" t="s">
        <v>931</v>
      </c>
      <c r="B183" s="270" t="s">
        <v>69</v>
      </c>
      <c r="C183" s="268" t="s">
        <v>904</v>
      </c>
      <c r="D183" s="318"/>
      <c r="E183" s="360"/>
      <c r="F183" s="361"/>
      <c r="G183" s="353"/>
      <c r="H183" s="356"/>
      <c r="I183" s="356"/>
      <c r="J183" s="356"/>
      <c r="K183" s="387">
        <v>0</v>
      </c>
      <c r="L183" s="317"/>
    </row>
    <row r="184" spans="1:11" s="302" customFormat="1" ht="18.75">
      <c r="A184" s="269" t="s">
        <v>1048</v>
      </c>
      <c r="B184" s="342" t="s">
        <v>1086</v>
      </c>
      <c r="C184" s="268" t="s">
        <v>904</v>
      </c>
      <c r="D184" s="318"/>
      <c r="E184" s="360"/>
      <c r="F184" s="361"/>
      <c r="G184" s="353"/>
      <c r="H184" s="356"/>
      <c r="I184" s="356"/>
      <c r="J184" s="356"/>
      <c r="K184" s="387">
        <v>0</v>
      </c>
    </row>
    <row r="185" spans="1:11" s="302" customFormat="1" ht="31.5">
      <c r="A185" s="269" t="s">
        <v>1049</v>
      </c>
      <c r="B185" s="342" t="s">
        <v>1087</v>
      </c>
      <c r="C185" s="268" t="s">
        <v>904</v>
      </c>
      <c r="D185" s="318"/>
      <c r="E185" s="360"/>
      <c r="F185" s="361"/>
      <c r="G185" s="353"/>
      <c r="H185" s="356"/>
      <c r="I185" s="356"/>
      <c r="J185" s="356"/>
      <c r="K185" s="387">
        <v>0</v>
      </c>
    </row>
    <row r="186" spans="1:11" s="302" customFormat="1" ht="18.75">
      <c r="A186" s="269" t="s">
        <v>932</v>
      </c>
      <c r="B186" s="352" t="s">
        <v>1106</v>
      </c>
      <c r="C186" s="268" t="s">
        <v>904</v>
      </c>
      <c r="D186" s="318"/>
      <c r="E186" s="360"/>
      <c r="F186" s="361"/>
      <c r="G186" s="353"/>
      <c r="H186" s="356"/>
      <c r="I186" s="356"/>
      <c r="J186" s="356"/>
      <c r="K186" s="387">
        <v>0</v>
      </c>
    </row>
    <row r="187" spans="1:12" s="302" customFormat="1" ht="18.75">
      <c r="A187" s="274" t="s">
        <v>689</v>
      </c>
      <c r="B187" s="275" t="s">
        <v>70</v>
      </c>
      <c r="C187" s="276" t="s">
        <v>904</v>
      </c>
      <c r="D187" s="392">
        <f>D189+D196+D197+D200+D201+D202+D204</f>
        <v>205.90885528959998</v>
      </c>
      <c r="E187" s="392">
        <f>E189+E196+E197+E200+E201+E202+E204</f>
        <v>10.814499</v>
      </c>
      <c r="F187" s="442">
        <v>327.48603097000006</v>
      </c>
      <c r="G187" s="442">
        <v>292.9409733711999</v>
      </c>
      <c r="H187" s="442">
        <v>298.92709293544965</v>
      </c>
      <c r="I187" s="442">
        <v>300.1458763262988</v>
      </c>
      <c r="J187" s="442">
        <v>301.31967310407197</v>
      </c>
      <c r="K187" s="446">
        <v>1520.8196467070206</v>
      </c>
      <c r="L187" s="321"/>
    </row>
    <row r="188" spans="1:11" s="302" customFormat="1" ht="18.75">
      <c r="A188" s="269" t="s">
        <v>690</v>
      </c>
      <c r="B188" s="270" t="s">
        <v>1024</v>
      </c>
      <c r="C188" s="268" t="s">
        <v>904</v>
      </c>
      <c r="D188" s="393"/>
      <c r="E188" s="394"/>
      <c r="F188" s="361"/>
      <c r="G188" s="361"/>
      <c r="H188" s="361"/>
      <c r="I188" s="361"/>
      <c r="J188" s="361"/>
      <c r="K188" s="391">
        <v>0</v>
      </c>
    </row>
    <row r="189" spans="1:11" s="302" customFormat="1" ht="18.75">
      <c r="A189" s="269" t="s">
        <v>691</v>
      </c>
      <c r="B189" s="270" t="s">
        <v>71</v>
      </c>
      <c r="C189" s="268" t="s">
        <v>904</v>
      </c>
      <c r="D189" s="395">
        <f>D192</f>
        <v>86.50734819</v>
      </c>
      <c r="E189" s="395">
        <f>E192</f>
        <v>0</v>
      </c>
      <c r="F189" s="391">
        <v>218.03738841</v>
      </c>
      <c r="G189" s="391">
        <v>116.77696799999998</v>
      </c>
      <c r="H189" s="391">
        <v>117.20904278159999</v>
      </c>
      <c r="I189" s="391">
        <v>117.67787895272639</v>
      </c>
      <c r="J189" s="391">
        <v>118.1485904685373</v>
      </c>
      <c r="K189" s="391">
        <v>687.8498686128637</v>
      </c>
    </row>
    <row r="190" spans="1:11" s="302" customFormat="1" ht="18.75">
      <c r="A190" s="269" t="s">
        <v>692</v>
      </c>
      <c r="B190" s="342" t="s">
        <v>793</v>
      </c>
      <c r="C190" s="268" t="s">
        <v>904</v>
      </c>
      <c r="D190" s="395"/>
      <c r="E190" s="396"/>
      <c r="F190" s="397"/>
      <c r="G190" s="397"/>
      <c r="H190" s="397"/>
      <c r="I190" s="361"/>
      <c r="J190" s="361"/>
      <c r="K190" s="391">
        <v>0</v>
      </c>
    </row>
    <row r="191" spans="1:11" s="302" customFormat="1" ht="18.75">
      <c r="A191" s="269" t="s">
        <v>693</v>
      </c>
      <c r="B191" s="342" t="s">
        <v>1025</v>
      </c>
      <c r="C191" s="268" t="s">
        <v>904</v>
      </c>
      <c r="D191" s="395"/>
      <c r="E191" s="396"/>
      <c r="F191" s="397"/>
      <c r="G191" s="397"/>
      <c r="H191" s="397"/>
      <c r="I191" s="361"/>
      <c r="J191" s="361"/>
      <c r="K191" s="391">
        <v>0</v>
      </c>
    </row>
    <row r="192" spans="1:11" s="302" customFormat="1" ht="18.75">
      <c r="A192" s="269" t="s">
        <v>953</v>
      </c>
      <c r="B192" s="342" t="s">
        <v>954</v>
      </c>
      <c r="C192" s="268" t="s">
        <v>904</v>
      </c>
      <c r="D192" s="395">
        <f>19.01986588+53.85373715+13.63374516</f>
        <v>86.50734819</v>
      </c>
      <c r="E192" s="395">
        <f>E59*1.2*$L$169</f>
        <v>0</v>
      </c>
      <c r="F192" s="391">
        <v>218.03738841</v>
      </c>
      <c r="G192" s="391">
        <v>116.77696799999998</v>
      </c>
      <c r="H192" s="391">
        <v>117.20904278159999</v>
      </c>
      <c r="I192" s="391">
        <v>117.67787895272639</v>
      </c>
      <c r="J192" s="391">
        <v>118.1485904685373</v>
      </c>
      <c r="K192" s="391">
        <v>687.8498686128637</v>
      </c>
    </row>
    <row r="193" spans="1:11" s="302" customFormat="1" ht="31.5">
      <c r="A193" s="269" t="s">
        <v>694</v>
      </c>
      <c r="B193" s="270" t="s">
        <v>1062</v>
      </c>
      <c r="C193" s="268" t="s">
        <v>904</v>
      </c>
      <c r="D193" s="395"/>
      <c r="E193" s="395"/>
      <c r="F193" s="391"/>
      <c r="G193" s="397"/>
      <c r="H193" s="397"/>
      <c r="I193" s="361"/>
      <c r="J193" s="361"/>
      <c r="K193" s="391">
        <v>0</v>
      </c>
    </row>
    <row r="194" spans="1:11" s="302" customFormat="1" ht="31.5">
      <c r="A194" s="269" t="s">
        <v>804</v>
      </c>
      <c r="B194" s="270" t="s">
        <v>123</v>
      </c>
      <c r="C194" s="268" t="s">
        <v>904</v>
      </c>
      <c r="D194" s="398"/>
      <c r="E194" s="398"/>
      <c r="F194" s="399"/>
      <c r="G194" s="397"/>
      <c r="H194" s="397"/>
      <c r="I194" s="361"/>
      <c r="J194" s="361"/>
      <c r="K194" s="391">
        <v>0</v>
      </c>
    </row>
    <row r="195" spans="1:11" s="302" customFormat="1" ht="18.75">
      <c r="A195" s="269" t="s">
        <v>805</v>
      </c>
      <c r="B195" s="270" t="s">
        <v>100</v>
      </c>
      <c r="C195" s="268" t="s">
        <v>904</v>
      </c>
      <c r="D195" s="395"/>
      <c r="E195" s="395"/>
      <c r="F195" s="391"/>
      <c r="G195" s="391"/>
      <c r="H195" s="391"/>
      <c r="I195" s="366"/>
      <c r="J195" s="366"/>
      <c r="K195" s="391">
        <v>0</v>
      </c>
    </row>
    <row r="196" spans="1:11" s="302" customFormat="1" ht="18.75">
      <c r="A196" s="269" t="s">
        <v>806</v>
      </c>
      <c r="B196" s="270" t="s">
        <v>794</v>
      </c>
      <c r="C196" s="268" t="s">
        <v>904</v>
      </c>
      <c r="D196" s="400">
        <f>7.66211555-D197</f>
        <v>5.884881374807987</v>
      </c>
      <c r="E196" s="390">
        <f>6.658099+0.78604</f>
        <v>7.444139</v>
      </c>
      <c r="F196" s="391">
        <v>8.03965662</v>
      </c>
      <c r="G196" s="391">
        <v>7.473915556</v>
      </c>
      <c r="H196" s="391">
        <v>7.5015690435572</v>
      </c>
      <c r="I196" s="391">
        <v>7.531575319731428</v>
      </c>
      <c r="J196" s="391">
        <v>7.561701621010354</v>
      </c>
      <c r="K196" s="391">
        <v>38.10841816029898</v>
      </c>
    </row>
    <row r="197" spans="1:11" s="302" customFormat="1" ht="18.75">
      <c r="A197" s="269" t="s">
        <v>807</v>
      </c>
      <c r="B197" s="270" t="s">
        <v>981</v>
      </c>
      <c r="C197" s="268" t="s">
        <v>904</v>
      </c>
      <c r="D197" s="400">
        <v>1.7772341751920124</v>
      </c>
      <c r="E197" s="390">
        <v>2.02036</v>
      </c>
      <c r="F197" s="391">
        <v>2.47144997</v>
      </c>
      <c r="G197" s="391">
        <v>2.0284414400000004</v>
      </c>
      <c r="H197" s="391">
        <v>2.0359466733280005</v>
      </c>
      <c r="I197" s="391">
        <v>2.0440904600213123</v>
      </c>
      <c r="J197" s="391">
        <v>2.0522668218613975</v>
      </c>
      <c r="K197" s="391">
        <v>10.63219536521071</v>
      </c>
    </row>
    <row r="198" spans="1:11" s="302" customFormat="1" ht="18.75">
      <c r="A198" s="269" t="s">
        <v>946</v>
      </c>
      <c r="B198" s="270" t="s">
        <v>72</v>
      </c>
      <c r="C198" s="268" t="s">
        <v>904</v>
      </c>
      <c r="D198" s="390">
        <f>D199</f>
        <v>2.1142950440000003</v>
      </c>
      <c r="E198" s="390">
        <f>E199</f>
        <v>0</v>
      </c>
      <c r="F198" s="391">
        <v>0.9</v>
      </c>
      <c r="G198" s="391">
        <v>0</v>
      </c>
      <c r="H198" s="391">
        <v>3</v>
      </c>
      <c r="I198" s="391">
        <v>3</v>
      </c>
      <c r="J198" s="391">
        <v>3</v>
      </c>
      <c r="K198" s="391">
        <v>9.9</v>
      </c>
    </row>
    <row r="199" spans="1:11" s="302" customFormat="1" ht="18.75">
      <c r="A199" s="269" t="s">
        <v>956</v>
      </c>
      <c r="B199" s="342" t="s">
        <v>957</v>
      </c>
      <c r="C199" s="268" t="s">
        <v>904</v>
      </c>
      <c r="D199" s="390">
        <f>D74</f>
        <v>2.1142950440000003</v>
      </c>
      <c r="E199" s="390"/>
      <c r="F199" s="391"/>
      <c r="G199" s="391"/>
      <c r="H199" s="391">
        <v>2.2</v>
      </c>
      <c r="I199" s="391">
        <v>2.2</v>
      </c>
      <c r="J199" s="391">
        <v>2.2</v>
      </c>
      <c r="K199" s="391">
        <v>6.6000000000000005</v>
      </c>
    </row>
    <row r="200" spans="1:11" s="302" customFormat="1" ht="18.75">
      <c r="A200" s="269" t="s">
        <v>955</v>
      </c>
      <c r="B200" s="270" t="s">
        <v>1055</v>
      </c>
      <c r="C200" s="268" t="s">
        <v>904</v>
      </c>
      <c r="D200" s="400">
        <v>3.37163858</v>
      </c>
      <c r="E200" s="390">
        <f>E62*$L$169*$L$202</f>
        <v>0</v>
      </c>
      <c r="F200" s="391">
        <v>12.2357952</v>
      </c>
      <c r="G200" s="391">
        <v>6.01774848</v>
      </c>
      <c r="H200" s="391">
        <v>6.040014149376</v>
      </c>
      <c r="I200" s="391">
        <v>6.064174205973505</v>
      </c>
      <c r="J200" s="391">
        <v>6.088430902797398</v>
      </c>
      <c r="K200" s="391">
        <v>36.4461629381469</v>
      </c>
    </row>
    <row r="201" spans="1:11" s="302" customFormat="1" ht="18.75">
      <c r="A201" s="269" t="s">
        <v>958</v>
      </c>
      <c r="B201" s="270" t="s">
        <v>1056</v>
      </c>
      <c r="C201" s="268" t="s">
        <v>904</v>
      </c>
      <c r="D201" s="400">
        <f>82.44788561+1.40783122+0.025+D177</f>
        <v>96.35505758960001</v>
      </c>
      <c r="E201" s="390">
        <f>E69*$L$201*$L$202</f>
        <v>0</v>
      </c>
      <c r="F201" s="391">
        <v>70.13000000000001</v>
      </c>
      <c r="G201" s="391">
        <v>137.62341472</v>
      </c>
      <c r="H201" s="391">
        <v>139.47045105446398</v>
      </c>
      <c r="I201" s="391">
        <v>140.23386085868185</v>
      </c>
      <c r="J201" s="391">
        <v>140.7944323021166</v>
      </c>
      <c r="K201" s="391">
        <v>628.2521589352625</v>
      </c>
    </row>
    <row r="202" spans="1:13" s="302" customFormat="1" ht="18.75">
      <c r="A202" s="269" t="s">
        <v>959</v>
      </c>
      <c r="B202" s="270" t="s">
        <v>961</v>
      </c>
      <c r="C202" s="268" t="s">
        <v>904</v>
      </c>
      <c r="D202" s="400">
        <v>10.08581626</v>
      </c>
      <c r="E202" s="390">
        <f>E77*$L$169*$L$202</f>
        <v>0</v>
      </c>
      <c r="F202" s="391">
        <v>12.07174077</v>
      </c>
      <c r="G202" s="391">
        <v>8.44138368</v>
      </c>
      <c r="H202" s="391">
        <v>8.472616799616</v>
      </c>
      <c r="I202" s="391">
        <v>8.506507266814465</v>
      </c>
      <c r="J202" s="391">
        <v>8.540533295881723</v>
      </c>
      <c r="K202" s="391">
        <v>46.03278181231219</v>
      </c>
      <c r="M202" s="307"/>
    </row>
    <row r="203" spans="1:11" s="302" customFormat="1" ht="31.5">
      <c r="A203" s="269" t="s">
        <v>960</v>
      </c>
      <c r="B203" s="270" t="s">
        <v>50</v>
      </c>
      <c r="C203" s="268" t="s">
        <v>904</v>
      </c>
      <c r="D203" s="401"/>
      <c r="E203" s="401"/>
      <c r="F203" s="366"/>
      <c r="G203" s="366"/>
      <c r="H203" s="366"/>
      <c r="I203" s="366"/>
      <c r="J203" s="391"/>
      <c r="K203" s="391">
        <v>0</v>
      </c>
    </row>
    <row r="204" spans="1:16" s="302" customFormat="1" ht="18.75">
      <c r="A204" s="269" t="s">
        <v>982</v>
      </c>
      <c r="B204" s="270" t="s">
        <v>124</v>
      </c>
      <c r="C204" s="268" t="s">
        <v>904</v>
      </c>
      <c r="D204" s="363">
        <v>1.92687912</v>
      </c>
      <c r="E204" s="401">
        <f>(E78+E76)*$L$201*$L$202+1.35</f>
        <v>1.35</v>
      </c>
      <c r="F204" s="366">
        <v>3.6</v>
      </c>
      <c r="G204" s="366">
        <v>14.57910149519997</v>
      </c>
      <c r="H204" s="366">
        <v>12.997452433508514</v>
      </c>
      <c r="I204" s="366">
        <v>12.887789262349806</v>
      </c>
      <c r="J204" s="366">
        <v>12.933717691867198</v>
      </c>
      <c r="K204" s="391">
        <v>56.998060882925486</v>
      </c>
      <c r="M204" s="322"/>
      <c r="N204" s="322"/>
      <c r="O204" s="322"/>
      <c r="P204" s="322"/>
    </row>
    <row r="205" spans="1:11" s="302" customFormat="1" ht="18.75">
      <c r="A205" s="274" t="s">
        <v>695</v>
      </c>
      <c r="B205" s="275" t="s">
        <v>73</v>
      </c>
      <c r="C205" s="276" t="s">
        <v>904</v>
      </c>
      <c r="D205" s="402">
        <v>0</v>
      </c>
      <c r="E205" s="402">
        <v>0</v>
      </c>
      <c r="F205" s="364">
        <v>0</v>
      </c>
      <c r="G205" s="364">
        <v>0</v>
      </c>
      <c r="H205" s="364">
        <v>0</v>
      </c>
      <c r="I205" s="364">
        <v>0</v>
      </c>
      <c r="J205" s="364">
        <v>0</v>
      </c>
      <c r="K205" s="388">
        <v>0</v>
      </c>
    </row>
    <row r="206" spans="1:11" s="302" customFormat="1" ht="18.75">
      <c r="A206" s="269" t="s">
        <v>696</v>
      </c>
      <c r="B206" s="270" t="s">
        <v>193</v>
      </c>
      <c r="C206" s="268" t="s">
        <v>904</v>
      </c>
      <c r="D206" s="403"/>
      <c r="E206" s="404"/>
      <c r="F206" s="404"/>
      <c r="G206" s="405"/>
      <c r="H206" s="406"/>
      <c r="I206" s="406"/>
      <c r="J206" s="406"/>
      <c r="K206" s="407">
        <v>0</v>
      </c>
    </row>
    <row r="207" spans="1:11" s="302" customFormat="1" ht="18.75">
      <c r="A207" s="269" t="s">
        <v>697</v>
      </c>
      <c r="B207" s="270" t="s">
        <v>218</v>
      </c>
      <c r="C207" s="268" t="s">
        <v>904</v>
      </c>
      <c r="D207" s="403"/>
      <c r="E207" s="404"/>
      <c r="F207" s="404"/>
      <c r="G207" s="405"/>
      <c r="H207" s="406"/>
      <c r="I207" s="406"/>
      <c r="J207" s="406"/>
      <c r="K207" s="407">
        <v>0</v>
      </c>
    </row>
    <row r="208" spans="1:11" s="302" customFormat="1" ht="31.5">
      <c r="A208" s="269" t="s">
        <v>808</v>
      </c>
      <c r="B208" s="342" t="s">
        <v>135</v>
      </c>
      <c r="C208" s="268" t="s">
        <v>904</v>
      </c>
      <c r="D208" s="403"/>
      <c r="E208" s="404"/>
      <c r="F208" s="404"/>
      <c r="G208" s="405"/>
      <c r="H208" s="406"/>
      <c r="I208" s="406"/>
      <c r="J208" s="406"/>
      <c r="K208" s="407">
        <v>0</v>
      </c>
    </row>
    <row r="209" spans="1:11" s="302" customFormat="1" ht="18.75">
      <c r="A209" s="269" t="s">
        <v>809</v>
      </c>
      <c r="B209" s="344" t="s">
        <v>775</v>
      </c>
      <c r="C209" s="268" t="s">
        <v>904</v>
      </c>
      <c r="D209" s="403"/>
      <c r="E209" s="408"/>
      <c r="F209" s="408"/>
      <c r="G209" s="409"/>
      <c r="H209" s="408"/>
      <c r="I209" s="410"/>
      <c r="J209" s="410"/>
      <c r="K209" s="407">
        <v>0</v>
      </c>
    </row>
    <row r="210" spans="1:11" s="302" customFormat="1" ht="18.75">
      <c r="A210" s="269" t="s">
        <v>810</v>
      </c>
      <c r="B210" s="344" t="s">
        <v>894</v>
      </c>
      <c r="C210" s="268" t="s">
        <v>904</v>
      </c>
      <c r="D210" s="403"/>
      <c r="E210" s="404"/>
      <c r="F210" s="404"/>
      <c r="G210" s="405"/>
      <c r="H210" s="406"/>
      <c r="I210" s="406"/>
      <c r="J210" s="406"/>
      <c r="K210" s="407">
        <v>0</v>
      </c>
    </row>
    <row r="211" spans="1:11" s="302" customFormat="1" ht="18.75">
      <c r="A211" s="269" t="s">
        <v>698</v>
      </c>
      <c r="B211" s="270" t="s">
        <v>125</v>
      </c>
      <c r="C211" s="268" t="s">
        <v>904</v>
      </c>
      <c r="D211" s="403"/>
      <c r="E211" s="404"/>
      <c r="F211" s="404"/>
      <c r="G211" s="405"/>
      <c r="H211" s="406"/>
      <c r="I211" s="406"/>
      <c r="J211" s="406"/>
      <c r="K211" s="407">
        <v>0</v>
      </c>
    </row>
    <row r="212" spans="1:11" s="302" customFormat="1" ht="18.75">
      <c r="A212" s="274" t="s">
        <v>700</v>
      </c>
      <c r="B212" s="275" t="s">
        <v>74</v>
      </c>
      <c r="C212" s="276" t="s">
        <v>904</v>
      </c>
      <c r="D212" s="376">
        <v>0</v>
      </c>
      <c r="E212" s="377">
        <v>0</v>
      </c>
      <c r="F212" s="378">
        <v>0</v>
      </c>
      <c r="G212" s="378">
        <v>0</v>
      </c>
      <c r="H212" s="378">
        <v>0</v>
      </c>
      <c r="I212" s="378">
        <v>0</v>
      </c>
      <c r="J212" s="378">
        <v>0</v>
      </c>
      <c r="K212" s="407">
        <v>0</v>
      </c>
    </row>
    <row r="213" spans="1:11" s="302" customFormat="1" ht="18.75">
      <c r="A213" s="269" t="s">
        <v>701</v>
      </c>
      <c r="B213" s="270" t="s">
        <v>75</v>
      </c>
      <c r="C213" s="268" t="s">
        <v>904</v>
      </c>
      <c r="D213" s="318"/>
      <c r="E213" s="360"/>
      <c r="F213" s="360"/>
      <c r="G213" s="372"/>
      <c r="H213" s="373"/>
      <c r="I213" s="373"/>
      <c r="J213" s="373"/>
      <c r="K213" s="407">
        <f aca="true" t="shared" si="1" ref="K213:K223">SUM(F213:J213)</f>
        <v>0</v>
      </c>
    </row>
    <row r="214" spans="1:11" s="302" customFormat="1" ht="18.75">
      <c r="A214" s="269" t="s">
        <v>811</v>
      </c>
      <c r="B214" s="342" t="s">
        <v>1026</v>
      </c>
      <c r="C214" s="268" t="s">
        <v>904</v>
      </c>
      <c r="D214" s="318"/>
      <c r="E214" s="360"/>
      <c r="F214" s="360"/>
      <c r="G214" s="372"/>
      <c r="H214" s="373"/>
      <c r="I214" s="373"/>
      <c r="J214" s="373"/>
      <c r="K214" s="407">
        <f t="shared" si="1"/>
        <v>0</v>
      </c>
    </row>
    <row r="215" spans="1:11" s="302" customFormat="1" ht="18.75">
      <c r="A215" s="269" t="s">
        <v>812</v>
      </c>
      <c r="B215" s="342" t="s">
        <v>1027</v>
      </c>
      <c r="C215" s="268" t="s">
        <v>904</v>
      </c>
      <c r="D215" s="318"/>
      <c r="E215" s="360"/>
      <c r="F215" s="360"/>
      <c r="G215" s="372"/>
      <c r="H215" s="373"/>
      <c r="I215" s="373"/>
      <c r="J215" s="373"/>
      <c r="K215" s="407">
        <f t="shared" si="1"/>
        <v>0</v>
      </c>
    </row>
    <row r="216" spans="1:11" s="302" customFormat="1" ht="18.75">
      <c r="A216" s="269" t="s">
        <v>813</v>
      </c>
      <c r="B216" s="342" t="s">
        <v>1028</v>
      </c>
      <c r="C216" s="268" t="s">
        <v>904</v>
      </c>
      <c r="D216" s="318"/>
      <c r="E216" s="360"/>
      <c r="F216" s="360"/>
      <c r="G216" s="372"/>
      <c r="H216" s="373"/>
      <c r="I216" s="373"/>
      <c r="J216" s="373"/>
      <c r="K216" s="407">
        <f t="shared" si="1"/>
        <v>0</v>
      </c>
    </row>
    <row r="217" spans="1:11" s="302" customFormat="1" ht="18.75">
      <c r="A217" s="269" t="s">
        <v>814</v>
      </c>
      <c r="B217" s="342" t="s">
        <v>1029</v>
      </c>
      <c r="C217" s="268" t="s">
        <v>904</v>
      </c>
      <c r="D217" s="318"/>
      <c r="E217" s="360"/>
      <c r="F217" s="360"/>
      <c r="G217" s="372"/>
      <c r="H217" s="373"/>
      <c r="I217" s="373"/>
      <c r="J217" s="373"/>
      <c r="K217" s="407">
        <f t="shared" si="1"/>
        <v>0</v>
      </c>
    </row>
    <row r="218" spans="1:11" s="302" customFormat="1" ht="18.75">
      <c r="A218" s="269" t="s">
        <v>947</v>
      </c>
      <c r="B218" s="342" t="s">
        <v>1030</v>
      </c>
      <c r="C218" s="268" t="s">
        <v>904</v>
      </c>
      <c r="D218" s="318"/>
      <c r="E218" s="360"/>
      <c r="F218" s="360"/>
      <c r="G218" s="372"/>
      <c r="H218" s="373"/>
      <c r="I218" s="373"/>
      <c r="J218" s="373"/>
      <c r="K218" s="407">
        <f t="shared" si="1"/>
        <v>0</v>
      </c>
    </row>
    <row r="219" spans="1:11" s="302" customFormat="1" ht="18.75">
      <c r="A219" s="269" t="s">
        <v>948</v>
      </c>
      <c r="B219" s="342" t="s">
        <v>699</v>
      </c>
      <c r="C219" s="268" t="s">
        <v>904</v>
      </c>
      <c r="D219" s="318"/>
      <c r="E219" s="360"/>
      <c r="F219" s="360"/>
      <c r="G219" s="372"/>
      <c r="H219" s="373"/>
      <c r="I219" s="373"/>
      <c r="J219" s="373"/>
      <c r="K219" s="407">
        <f t="shared" si="1"/>
        <v>0</v>
      </c>
    </row>
    <row r="220" spans="1:11" s="302" customFormat="1" ht="18.75">
      <c r="A220" s="269" t="s">
        <v>702</v>
      </c>
      <c r="B220" s="270" t="s">
        <v>205</v>
      </c>
      <c r="C220" s="268" t="s">
        <v>904</v>
      </c>
      <c r="D220" s="318"/>
      <c r="E220" s="360"/>
      <c r="F220" s="360"/>
      <c r="G220" s="372"/>
      <c r="H220" s="373"/>
      <c r="I220" s="373"/>
      <c r="J220" s="373"/>
      <c r="K220" s="407">
        <f t="shared" si="1"/>
        <v>0</v>
      </c>
    </row>
    <row r="221" spans="1:11" s="302" customFormat="1" ht="18.75">
      <c r="A221" s="269" t="s">
        <v>703</v>
      </c>
      <c r="B221" s="270" t="s">
        <v>134</v>
      </c>
      <c r="C221" s="268" t="s">
        <v>904</v>
      </c>
      <c r="D221" s="318"/>
      <c r="E221" s="360"/>
      <c r="F221" s="360"/>
      <c r="G221" s="372"/>
      <c r="H221" s="373"/>
      <c r="I221" s="373"/>
      <c r="J221" s="373"/>
      <c r="K221" s="407">
        <f t="shared" si="1"/>
        <v>0</v>
      </c>
    </row>
    <row r="222" spans="1:11" s="302" customFormat="1" ht="18.75">
      <c r="A222" s="269" t="s">
        <v>1090</v>
      </c>
      <c r="B222" s="270" t="s">
        <v>1023</v>
      </c>
      <c r="C222" s="268" t="s">
        <v>436</v>
      </c>
      <c r="D222" s="318"/>
      <c r="E222" s="360"/>
      <c r="F222" s="360"/>
      <c r="G222" s="372"/>
      <c r="H222" s="373"/>
      <c r="I222" s="373"/>
      <c r="J222" s="373"/>
      <c r="K222" s="407">
        <f t="shared" si="1"/>
        <v>0</v>
      </c>
    </row>
    <row r="223" spans="1:11" s="302" customFormat="1" ht="18.75">
      <c r="A223" s="269" t="s">
        <v>1091</v>
      </c>
      <c r="B223" s="270" t="s">
        <v>1092</v>
      </c>
      <c r="C223" s="268" t="s">
        <v>904</v>
      </c>
      <c r="D223" s="318"/>
      <c r="E223" s="360"/>
      <c r="F223" s="360"/>
      <c r="G223" s="372"/>
      <c r="H223" s="373"/>
      <c r="I223" s="373"/>
      <c r="J223" s="373"/>
      <c r="K223" s="407">
        <f t="shared" si="1"/>
        <v>0</v>
      </c>
    </row>
    <row r="224" spans="1:11" s="302" customFormat="1" ht="18.75">
      <c r="A224" s="274" t="s">
        <v>704</v>
      </c>
      <c r="B224" s="275" t="s">
        <v>76</v>
      </c>
      <c r="C224" s="276" t="s">
        <v>904</v>
      </c>
      <c r="D224" s="376">
        <v>0</v>
      </c>
      <c r="E224" s="377">
        <v>0</v>
      </c>
      <c r="F224" s="377">
        <v>0</v>
      </c>
      <c r="G224" s="378">
        <v>0</v>
      </c>
      <c r="H224" s="379">
        <v>0</v>
      </c>
      <c r="I224" s="379">
        <v>0</v>
      </c>
      <c r="J224" s="379">
        <v>0</v>
      </c>
      <c r="K224" s="407">
        <v>0</v>
      </c>
    </row>
    <row r="225" spans="1:11" s="302" customFormat="1" ht="18.75">
      <c r="A225" s="269" t="s">
        <v>705</v>
      </c>
      <c r="B225" s="270" t="s">
        <v>206</v>
      </c>
      <c r="C225" s="268" t="s">
        <v>904</v>
      </c>
      <c r="D225" s="318"/>
      <c r="E225" s="360"/>
      <c r="F225" s="360"/>
      <c r="G225" s="372"/>
      <c r="H225" s="373"/>
      <c r="I225" s="373"/>
      <c r="J225" s="373"/>
      <c r="K225" s="407">
        <f aca="true" t="shared" si="2" ref="K225:K243">SUM(F225:J225)</f>
        <v>0</v>
      </c>
    </row>
    <row r="226" spans="1:11" s="302" customFormat="1" ht="18.75">
      <c r="A226" s="269" t="s">
        <v>706</v>
      </c>
      <c r="B226" s="270" t="s">
        <v>77</v>
      </c>
      <c r="C226" s="268" t="s">
        <v>904</v>
      </c>
      <c r="D226" s="318"/>
      <c r="E226" s="360"/>
      <c r="F226" s="360"/>
      <c r="G226" s="372"/>
      <c r="H226" s="373"/>
      <c r="I226" s="373"/>
      <c r="J226" s="373"/>
      <c r="K226" s="407">
        <f t="shared" si="2"/>
        <v>0</v>
      </c>
    </row>
    <row r="227" spans="1:11" s="302" customFormat="1" ht="18.75">
      <c r="A227" s="269" t="s">
        <v>761</v>
      </c>
      <c r="B227" s="342" t="s">
        <v>126</v>
      </c>
      <c r="C227" s="268" t="s">
        <v>904</v>
      </c>
      <c r="D227" s="318"/>
      <c r="E227" s="360"/>
      <c r="F227" s="360"/>
      <c r="G227" s="372"/>
      <c r="H227" s="373"/>
      <c r="I227" s="373"/>
      <c r="J227" s="373"/>
      <c r="K227" s="407">
        <f t="shared" si="2"/>
        <v>0</v>
      </c>
    </row>
    <row r="228" spans="1:11" s="302" customFormat="1" ht="18.75">
      <c r="A228" s="269" t="s">
        <v>762</v>
      </c>
      <c r="B228" s="342" t="s">
        <v>136</v>
      </c>
      <c r="C228" s="268" t="s">
        <v>904</v>
      </c>
      <c r="D228" s="318"/>
      <c r="E228" s="360"/>
      <c r="F228" s="360"/>
      <c r="G228" s="372"/>
      <c r="H228" s="373"/>
      <c r="I228" s="373"/>
      <c r="J228" s="373"/>
      <c r="K228" s="407">
        <f t="shared" si="2"/>
        <v>0</v>
      </c>
    </row>
    <row r="229" spans="1:11" s="302" customFormat="1" ht="18.75">
      <c r="A229" s="269" t="s">
        <v>797</v>
      </c>
      <c r="B229" s="342" t="s">
        <v>210</v>
      </c>
      <c r="C229" s="268" t="s">
        <v>904</v>
      </c>
      <c r="D229" s="318"/>
      <c r="E229" s="360"/>
      <c r="F229" s="360"/>
      <c r="G229" s="372"/>
      <c r="H229" s="373"/>
      <c r="I229" s="373"/>
      <c r="J229" s="373"/>
      <c r="K229" s="407">
        <f t="shared" si="2"/>
        <v>0</v>
      </c>
    </row>
    <row r="230" spans="1:11" s="302" customFormat="1" ht="18.75">
      <c r="A230" s="269" t="s">
        <v>707</v>
      </c>
      <c r="B230" s="270" t="s">
        <v>1077</v>
      </c>
      <c r="C230" s="268" t="s">
        <v>904</v>
      </c>
      <c r="D230" s="318"/>
      <c r="E230" s="360"/>
      <c r="F230" s="360"/>
      <c r="G230" s="372"/>
      <c r="H230" s="373"/>
      <c r="I230" s="373"/>
      <c r="J230" s="373"/>
      <c r="K230" s="407">
        <f t="shared" si="2"/>
        <v>0</v>
      </c>
    </row>
    <row r="231" spans="1:11" s="302" customFormat="1" ht="18.75">
      <c r="A231" s="269" t="s">
        <v>708</v>
      </c>
      <c r="B231" s="270" t="s">
        <v>78</v>
      </c>
      <c r="C231" s="268" t="s">
        <v>904</v>
      </c>
      <c r="D231" s="318"/>
      <c r="E231" s="360"/>
      <c r="F231" s="360"/>
      <c r="G231" s="372"/>
      <c r="H231" s="373"/>
      <c r="I231" s="373"/>
      <c r="J231" s="373"/>
      <c r="K231" s="407">
        <f t="shared" si="2"/>
        <v>0</v>
      </c>
    </row>
    <row r="232" spans="1:11" s="302" customFormat="1" ht="18.75">
      <c r="A232" s="269" t="s">
        <v>815</v>
      </c>
      <c r="B232" s="342" t="s">
        <v>821</v>
      </c>
      <c r="C232" s="268" t="s">
        <v>904</v>
      </c>
      <c r="D232" s="318"/>
      <c r="E232" s="360"/>
      <c r="F232" s="360"/>
      <c r="G232" s="372"/>
      <c r="H232" s="373"/>
      <c r="I232" s="373"/>
      <c r="J232" s="373"/>
      <c r="K232" s="407">
        <f t="shared" si="2"/>
        <v>0</v>
      </c>
    </row>
    <row r="233" spans="1:11" s="302" customFormat="1" ht="18.75">
      <c r="A233" s="269" t="s">
        <v>816</v>
      </c>
      <c r="B233" s="342" t="s">
        <v>127</v>
      </c>
      <c r="C233" s="268" t="s">
        <v>904</v>
      </c>
      <c r="D233" s="318"/>
      <c r="E233" s="360"/>
      <c r="F233" s="360"/>
      <c r="G233" s="372"/>
      <c r="H233" s="373"/>
      <c r="I233" s="373"/>
      <c r="J233" s="373"/>
      <c r="K233" s="407">
        <f t="shared" si="2"/>
        <v>0</v>
      </c>
    </row>
    <row r="234" spans="1:11" s="302" customFormat="1" ht="18.75">
      <c r="A234" s="269" t="s">
        <v>817</v>
      </c>
      <c r="B234" s="270" t="s">
        <v>795</v>
      </c>
      <c r="C234" s="268" t="s">
        <v>904</v>
      </c>
      <c r="D234" s="318"/>
      <c r="E234" s="360"/>
      <c r="F234" s="360"/>
      <c r="G234" s="372"/>
      <c r="H234" s="373"/>
      <c r="I234" s="373"/>
      <c r="J234" s="373"/>
      <c r="K234" s="407">
        <f t="shared" si="2"/>
        <v>0</v>
      </c>
    </row>
    <row r="235" spans="1:11" s="302" customFormat="1" ht="18.75">
      <c r="A235" s="269" t="s">
        <v>818</v>
      </c>
      <c r="B235" s="270" t="s">
        <v>796</v>
      </c>
      <c r="C235" s="268" t="s">
        <v>904</v>
      </c>
      <c r="D235" s="318"/>
      <c r="E235" s="360"/>
      <c r="F235" s="360"/>
      <c r="G235" s="372"/>
      <c r="H235" s="373"/>
      <c r="I235" s="373"/>
      <c r="J235" s="373"/>
      <c r="K235" s="407">
        <f t="shared" si="2"/>
        <v>0</v>
      </c>
    </row>
    <row r="236" spans="1:11" s="302" customFormat="1" ht="18.75">
      <c r="A236" s="269" t="s">
        <v>819</v>
      </c>
      <c r="B236" s="270" t="s">
        <v>128</v>
      </c>
      <c r="C236" s="268" t="s">
        <v>904</v>
      </c>
      <c r="D236" s="318"/>
      <c r="E236" s="360"/>
      <c r="F236" s="360"/>
      <c r="G236" s="372"/>
      <c r="H236" s="373"/>
      <c r="I236" s="373"/>
      <c r="J236" s="373"/>
      <c r="K236" s="407">
        <f t="shared" si="2"/>
        <v>0</v>
      </c>
    </row>
    <row r="237" spans="1:11" s="302" customFormat="1" ht="18.75">
      <c r="A237" s="274" t="s">
        <v>709</v>
      </c>
      <c r="B237" s="275" t="s">
        <v>79</v>
      </c>
      <c r="C237" s="276" t="s">
        <v>904</v>
      </c>
      <c r="D237" s="376">
        <v>0</v>
      </c>
      <c r="E237" s="377"/>
      <c r="F237" s="377"/>
      <c r="G237" s="378"/>
      <c r="H237" s="379"/>
      <c r="I237" s="379"/>
      <c r="J237" s="379"/>
      <c r="K237" s="407">
        <f t="shared" si="2"/>
        <v>0</v>
      </c>
    </row>
    <row r="238" spans="1:11" s="302" customFormat="1" ht="18.75">
      <c r="A238" s="269" t="s">
        <v>710</v>
      </c>
      <c r="B238" s="270" t="s">
        <v>80</v>
      </c>
      <c r="C238" s="268" t="s">
        <v>904</v>
      </c>
      <c r="D238" s="318"/>
      <c r="E238" s="360"/>
      <c r="F238" s="360"/>
      <c r="G238" s="372"/>
      <c r="H238" s="373"/>
      <c r="I238" s="373"/>
      <c r="J238" s="373"/>
      <c r="K238" s="407">
        <f t="shared" si="2"/>
        <v>0</v>
      </c>
    </row>
    <row r="239" spans="1:11" s="302" customFormat="1" ht="18.75">
      <c r="A239" s="269" t="s">
        <v>140</v>
      </c>
      <c r="B239" s="342" t="s">
        <v>126</v>
      </c>
      <c r="C239" s="268" t="s">
        <v>904</v>
      </c>
      <c r="D239" s="318"/>
      <c r="E239" s="360"/>
      <c r="F239" s="360"/>
      <c r="G239" s="372"/>
      <c r="H239" s="373"/>
      <c r="I239" s="373"/>
      <c r="J239" s="373"/>
      <c r="K239" s="407">
        <f t="shared" si="2"/>
        <v>0</v>
      </c>
    </row>
    <row r="240" spans="1:11" s="302" customFormat="1" ht="18.75">
      <c r="A240" s="269" t="s">
        <v>141</v>
      </c>
      <c r="B240" s="342" t="s">
        <v>136</v>
      </c>
      <c r="C240" s="268" t="s">
        <v>904</v>
      </c>
      <c r="D240" s="318"/>
      <c r="E240" s="360"/>
      <c r="F240" s="360"/>
      <c r="G240" s="372"/>
      <c r="H240" s="373"/>
      <c r="I240" s="373"/>
      <c r="J240" s="373"/>
      <c r="K240" s="407">
        <f t="shared" si="2"/>
        <v>0</v>
      </c>
    </row>
    <row r="241" spans="1:11" s="302" customFormat="1" ht="18.75">
      <c r="A241" s="269" t="s">
        <v>142</v>
      </c>
      <c r="B241" s="342" t="s">
        <v>210</v>
      </c>
      <c r="C241" s="268" t="s">
        <v>904</v>
      </c>
      <c r="D241" s="318"/>
      <c r="E241" s="360"/>
      <c r="F241" s="360"/>
      <c r="G241" s="372"/>
      <c r="H241" s="373"/>
      <c r="I241" s="373"/>
      <c r="J241" s="373"/>
      <c r="K241" s="407">
        <f t="shared" si="2"/>
        <v>0</v>
      </c>
    </row>
    <row r="242" spans="1:11" s="302" customFormat="1" ht="18.75">
      <c r="A242" s="269" t="s">
        <v>711</v>
      </c>
      <c r="B242" s="270" t="s">
        <v>161</v>
      </c>
      <c r="C242" s="268" t="s">
        <v>904</v>
      </c>
      <c r="D242" s="318"/>
      <c r="E242" s="360"/>
      <c r="F242" s="360"/>
      <c r="G242" s="372"/>
      <c r="H242" s="373"/>
      <c r="I242" s="373"/>
      <c r="J242" s="373"/>
      <c r="K242" s="407">
        <f t="shared" si="2"/>
        <v>0</v>
      </c>
    </row>
    <row r="243" spans="1:11" s="302" customFormat="1" ht="18.75">
      <c r="A243" s="269" t="s">
        <v>820</v>
      </c>
      <c r="B243" s="270" t="s">
        <v>129</v>
      </c>
      <c r="C243" s="268" t="s">
        <v>904</v>
      </c>
      <c r="D243" s="318"/>
      <c r="E243" s="360"/>
      <c r="F243" s="360"/>
      <c r="G243" s="372"/>
      <c r="H243" s="373"/>
      <c r="I243" s="373"/>
      <c r="J243" s="373"/>
      <c r="K243" s="407">
        <f t="shared" si="2"/>
        <v>0</v>
      </c>
    </row>
    <row r="244" spans="1:11" s="302" customFormat="1" ht="31.5">
      <c r="A244" s="269" t="s">
        <v>712</v>
      </c>
      <c r="B244" s="284" t="s">
        <v>116</v>
      </c>
      <c r="C244" s="268" t="s">
        <v>904</v>
      </c>
      <c r="D244" s="411">
        <f>D169-D187</f>
        <v>-11.870758249999994</v>
      </c>
      <c r="E244" s="411">
        <f>E169-E187</f>
        <v>-10.814499</v>
      </c>
      <c r="F244" s="412">
        <v>-62.10064226000003</v>
      </c>
      <c r="G244" s="412">
        <v>-0.00040525464436313996</v>
      </c>
      <c r="H244" s="412">
        <v>0.00022503201699919373</v>
      </c>
      <c r="I244" s="412">
        <v>7.249561389244263E-05</v>
      </c>
      <c r="J244" s="412">
        <v>-0.00021781105158424907</v>
      </c>
      <c r="K244" s="412">
        <v>-62.100967798065085</v>
      </c>
    </row>
    <row r="245" spans="1:11" s="302" customFormat="1" ht="31.5">
      <c r="A245" s="269" t="s">
        <v>713</v>
      </c>
      <c r="B245" s="284" t="s">
        <v>130</v>
      </c>
      <c r="C245" s="268" t="s">
        <v>904</v>
      </c>
      <c r="D245" s="413"/>
      <c r="E245" s="414"/>
      <c r="F245" s="415"/>
      <c r="G245" s="412"/>
      <c r="H245" s="412"/>
      <c r="I245" s="412"/>
      <c r="J245" s="412"/>
      <c r="K245" s="412">
        <v>0</v>
      </c>
    </row>
    <row r="246" spans="1:11" s="302" customFormat="1" ht="18.75">
      <c r="A246" s="269" t="s">
        <v>822</v>
      </c>
      <c r="B246" s="270" t="s">
        <v>131</v>
      </c>
      <c r="C246" s="268" t="s">
        <v>904</v>
      </c>
      <c r="D246" s="416"/>
      <c r="E246" s="360"/>
      <c r="F246" s="417"/>
      <c r="G246" s="418"/>
      <c r="H246" s="419"/>
      <c r="I246" s="419"/>
      <c r="J246" s="419"/>
      <c r="K246" s="412">
        <v>0</v>
      </c>
    </row>
    <row r="247" spans="1:11" s="302" customFormat="1" ht="18.75">
      <c r="A247" s="269" t="s">
        <v>823</v>
      </c>
      <c r="B247" s="270" t="s">
        <v>198</v>
      </c>
      <c r="C247" s="268" t="s">
        <v>904</v>
      </c>
      <c r="D247" s="416"/>
      <c r="E247" s="360"/>
      <c r="F247" s="417"/>
      <c r="G247" s="418"/>
      <c r="H247" s="419"/>
      <c r="I247" s="419"/>
      <c r="J247" s="419"/>
      <c r="K247" s="412">
        <v>0</v>
      </c>
    </row>
    <row r="248" spans="1:11" s="302" customFormat="1" ht="31.5">
      <c r="A248" s="269" t="s">
        <v>714</v>
      </c>
      <c r="B248" s="284" t="s">
        <v>132</v>
      </c>
      <c r="C248" s="268" t="s">
        <v>904</v>
      </c>
      <c r="D248" s="416"/>
      <c r="E248" s="360"/>
      <c r="F248" s="417"/>
      <c r="G248" s="418"/>
      <c r="H248" s="419"/>
      <c r="I248" s="419"/>
      <c r="J248" s="419"/>
      <c r="K248" s="412">
        <v>0</v>
      </c>
    </row>
    <row r="249" spans="1:11" s="302" customFormat="1" ht="18.75">
      <c r="A249" s="269" t="s">
        <v>984</v>
      </c>
      <c r="B249" s="270" t="s">
        <v>1022</v>
      </c>
      <c r="C249" s="268" t="s">
        <v>904</v>
      </c>
      <c r="D249" s="416"/>
      <c r="E249" s="360"/>
      <c r="F249" s="417"/>
      <c r="G249" s="418"/>
      <c r="H249" s="419"/>
      <c r="I249" s="419"/>
      <c r="J249" s="419"/>
      <c r="K249" s="412">
        <v>0</v>
      </c>
    </row>
    <row r="250" spans="1:11" s="302" customFormat="1" ht="18.75">
      <c r="A250" s="269" t="s">
        <v>985</v>
      </c>
      <c r="B250" s="270" t="s">
        <v>983</v>
      </c>
      <c r="C250" s="268" t="s">
        <v>904</v>
      </c>
      <c r="D250" s="416"/>
      <c r="E250" s="360"/>
      <c r="F250" s="417"/>
      <c r="G250" s="418"/>
      <c r="H250" s="419"/>
      <c r="I250" s="419"/>
      <c r="J250" s="419"/>
      <c r="K250" s="412">
        <v>0</v>
      </c>
    </row>
    <row r="251" spans="1:11" s="302" customFormat="1" ht="18.75">
      <c r="A251" s="269" t="s">
        <v>715</v>
      </c>
      <c r="B251" s="284" t="s">
        <v>217</v>
      </c>
      <c r="C251" s="268" t="s">
        <v>904</v>
      </c>
      <c r="D251" s="416"/>
      <c r="E251" s="360"/>
      <c r="F251" s="417"/>
      <c r="G251" s="418"/>
      <c r="H251" s="419"/>
      <c r="I251" s="419"/>
      <c r="J251" s="419"/>
      <c r="K251" s="412">
        <v>0</v>
      </c>
    </row>
    <row r="252" spans="1:11" s="302" customFormat="1" ht="18.75">
      <c r="A252" s="269" t="s">
        <v>716</v>
      </c>
      <c r="B252" s="284" t="s">
        <v>117</v>
      </c>
      <c r="C252" s="268" t="s">
        <v>904</v>
      </c>
      <c r="D252" s="411">
        <f>D244+D245+D248+D251</f>
        <v>-11.870758249999994</v>
      </c>
      <c r="E252" s="420">
        <f>E244+E245+E248+E251</f>
        <v>-10.814499</v>
      </c>
      <c r="F252" s="421">
        <v>-62.10064226000003</v>
      </c>
      <c r="G252" s="412">
        <v>-0.00040525464436313996</v>
      </c>
      <c r="H252" s="412">
        <v>0.00022503201699919373</v>
      </c>
      <c r="I252" s="412">
        <v>7.249561389244263E-05</v>
      </c>
      <c r="J252" s="412">
        <v>-0.00021781105158424907</v>
      </c>
      <c r="K252" s="412">
        <v>-62.100967798065085</v>
      </c>
    </row>
    <row r="253" spans="1:11" s="302" customFormat="1" ht="18.75">
      <c r="A253" s="269" t="s">
        <v>717</v>
      </c>
      <c r="B253" s="284" t="s">
        <v>153</v>
      </c>
      <c r="C253" s="268" t="s">
        <v>904</v>
      </c>
      <c r="D253" s="422">
        <v>0</v>
      </c>
      <c r="E253" s="422">
        <v>0</v>
      </c>
      <c r="F253" s="422">
        <v>0</v>
      </c>
      <c r="G253" s="422">
        <v>0</v>
      </c>
      <c r="H253" s="422">
        <v>0</v>
      </c>
      <c r="I253" s="422">
        <v>0</v>
      </c>
      <c r="J253" s="422">
        <v>0</v>
      </c>
      <c r="K253" s="447">
        <v>0</v>
      </c>
    </row>
    <row r="254" spans="1:11" s="302" customFormat="1" ht="18.75">
      <c r="A254" s="269" t="s">
        <v>718</v>
      </c>
      <c r="B254" s="284" t="s">
        <v>154</v>
      </c>
      <c r="C254" s="268" t="s">
        <v>904</v>
      </c>
      <c r="D254" s="422">
        <f>D252</f>
        <v>-11.870758249999994</v>
      </c>
      <c r="E254" s="422">
        <v>0</v>
      </c>
      <c r="F254" s="422">
        <v>0</v>
      </c>
      <c r="G254" s="422">
        <v>0</v>
      </c>
      <c r="H254" s="422">
        <v>0</v>
      </c>
      <c r="I254" s="422">
        <v>0</v>
      </c>
      <c r="J254" s="422">
        <v>0</v>
      </c>
      <c r="K254" s="447">
        <v>0</v>
      </c>
    </row>
    <row r="255" spans="1:11" s="302" customFormat="1" ht="18.75">
      <c r="A255" s="269" t="s">
        <v>721</v>
      </c>
      <c r="B255" s="284" t="s">
        <v>1023</v>
      </c>
      <c r="C255" s="268" t="s">
        <v>436</v>
      </c>
      <c r="D255" s="318"/>
      <c r="E255" s="360"/>
      <c r="F255" s="360"/>
      <c r="G255" s="372"/>
      <c r="H255" s="372"/>
      <c r="I255" s="372"/>
      <c r="J255" s="372"/>
      <c r="K255" s="447">
        <v>0</v>
      </c>
    </row>
    <row r="256" spans="1:17" s="302" customFormat="1" ht="18.75">
      <c r="A256" s="274" t="s">
        <v>722</v>
      </c>
      <c r="B256" s="279" t="s">
        <v>81</v>
      </c>
      <c r="C256" s="276" t="s">
        <v>904</v>
      </c>
      <c r="D256" s="362">
        <f>D267</f>
        <v>51.36552972000001</v>
      </c>
      <c r="E256" s="363">
        <f>E267</f>
        <v>271.1997</v>
      </c>
      <c r="F256" s="401">
        <v>26.849797563936</v>
      </c>
      <c r="G256" s="401">
        <v>27</v>
      </c>
      <c r="H256" s="401">
        <v>27.0999</v>
      </c>
      <c r="I256" s="401">
        <v>27.2082996</v>
      </c>
      <c r="J256" s="401">
        <v>27.3171327984</v>
      </c>
      <c r="K256" s="447">
        <v>135.475129962336</v>
      </c>
      <c r="L256" s="322"/>
      <c r="M256" s="322"/>
      <c r="N256" s="322"/>
      <c r="O256" s="322"/>
      <c r="P256" s="322"/>
      <c r="Q256" s="322"/>
    </row>
    <row r="257" spans="1:11" s="302" customFormat="1" ht="18.75">
      <c r="A257" s="269" t="s">
        <v>824</v>
      </c>
      <c r="B257" s="342" t="s">
        <v>82</v>
      </c>
      <c r="C257" s="268" t="s">
        <v>904</v>
      </c>
      <c r="D257" s="318"/>
      <c r="E257" s="360"/>
      <c r="F257" s="360"/>
      <c r="G257" s="372"/>
      <c r="H257" s="373"/>
      <c r="I257" s="373"/>
      <c r="J257" s="373"/>
      <c r="K257" s="407">
        <v>0</v>
      </c>
    </row>
    <row r="258" spans="1:11" s="302" customFormat="1" ht="18.75">
      <c r="A258" s="269" t="s">
        <v>825</v>
      </c>
      <c r="B258" s="344" t="s">
        <v>211</v>
      </c>
      <c r="C258" s="268" t="s">
        <v>904</v>
      </c>
      <c r="D258" s="318"/>
      <c r="E258" s="360"/>
      <c r="F258" s="360"/>
      <c r="G258" s="372"/>
      <c r="H258" s="373"/>
      <c r="I258" s="373"/>
      <c r="J258" s="373"/>
      <c r="K258" s="407">
        <v>0</v>
      </c>
    </row>
    <row r="259" spans="1:11" s="302" customFormat="1" ht="31.5">
      <c r="A259" s="269" t="s">
        <v>1050</v>
      </c>
      <c r="B259" s="344" t="s">
        <v>1061</v>
      </c>
      <c r="C259" s="268" t="s">
        <v>904</v>
      </c>
      <c r="D259" s="318"/>
      <c r="E259" s="360"/>
      <c r="F259" s="360"/>
      <c r="G259" s="372"/>
      <c r="H259" s="373"/>
      <c r="I259" s="373"/>
      <c r="J259" s="373"/>
      <c r="K259" s="407">
        <v>0</v>
      </c>
    </row>
    <row r="260" spans="1:11" s="302" customFormat="1" ht="18.75">
      <c r="A260" s="269" t="s">
        <v>1051</v>
      </c>
      <c r="B260" s="273" t="s">
        <v>211</v>
      </c>
      <c r="C260" s="268" t="s">
        <v>904</v>
      </c>
      <c r="D260" s="318"/>
      <c r="E260" s="360"/>
      <c r="F260" s="360"/>
      <c r="G260" s="372"/>
      <c r="H260" s="373"/>
      <c r="I260" s="373"/>
      <c r="J260" s="373"/>
      <c r="K260" s="407">
        <v>0</v>
      </c>
    </row>
    <row r="261" spans="1:11" s="302" customFormat="1" ht="31.5">
      <c r="A261" s="269" t="s">
        <v>1052</v>
      </c>
      <c r="B261" s="344" t="s">
        <v>1058</v>
      </c>
      <c r="C261" s="268" t="s">
        <v>904</v>
      </c>
      <c r="D261" s="318"/>
      <c r="E261" s="360"/>
      <c r="F261" s="360"/>
      <c r="G261" s="372"/>
      <c r="H261" s="373"/>
      <c r="I261" s="373"/>
      <c r="J261" s="373"/>
      <c r="K261" s="407">
        <v>0</v>
      </c>
    </row>
    <row r="262" spans="1:11" s="302" customFormat="1" ht="18.75">
      <c r="A262" s="269" t="s">
        <v>1053</v>
      </c>
      <c r="B262" s="273" t="s">
        <v>211</v>
      </c>
      <c r="C262" s="268" t="s">
        <v>904</v>
      </c>
      <c r="D262" s="318"/>
      <c r="E262" s="360"/>
      <c r="F262" s="360"/>
      <c r="G262" s="372"/>
      <c r="H262" s="373"/>
      <c r="I262" s="373"/>
      <c r="J262" s="373"/>
      <c r="K262" s="407">
        <v>0</v>
      </c>
    </row>
    <row r="263" spans="1:11" s="302" customFormat="1" ht="31.5">
      <c r="A263" s="269" t="s">
        <v>37</v>
      </c>
      <c r="B263" s="344" t="s">
        <v>1043</v>
      </c>
      <c r="C263" s="268" t="s">
        <v>904</v>
      </c>
      <c r="D263" s="318"/>
      <c r="E263" s="360"/>
      <c r="F263" s="360"/>
      <c r="G263" s="372"/>
      <c r="H263" s="373"/>
      <c r="I263" s="373"/>
      <c r="J263" s="373"/>
      <c r="K263" s="407">
        <v>0</v>
      </c>
    </row>
    <row r="264" spans="1:11" s="302" customFormat="1" ht="18.75">
      <c r="A264" s="269" t="s">
        <v>38</v>
      </c>
      <c r="B264" s="273" t="s">
        <v>211</v>
      </c>
      <c r="C264" s="268" t="s">
        <v>904</v>
      </c>
      <c r="D264" s="318"/>
      <c r="E264" s="360"/>
      <c r="F264" s="360"/>
      <c r="G264" s="372"/>
      <c r="H264" s="373"/>
      <c r="I264" s="373"/>
      <c r="J264" s="373"/>
      <c r="K264" s="407">
        <v>0</v>
      </c>
    </row>
    <row r="265" spans="1:11" s="302" customFormat="1" ht="18.75">
      <c r="A265" s="269" t="s">
        <v>826</v>
      </c>
      <c r="B265" s="342" t="s">
        <v>107</v>
      </c>
      <c r="C265" s="268" t="s">
        <v>904</v>
      </c>
      <c r="D265" s="318"/>
      <c r="E265" s="360"/>
      <c r="F265" s="360"/>
      <c r="G265" s="372"/>
      <c r="H265" s="373"/>
      <c r="I265" s="373"/>
      <c r="J265" s="373"/>
      <c r="K265" s="407">
        <v>0</v>
      </c>
    </row>
    <row r="266" spans="1:11" s="302" customFormat="1" ht="18.75">
      <c r="A266" s="269" t="s">
        <v>827</v>
      </c>
      <c r="B266" s="344" t="s">
        <v>211</v>
      </c>
      <c r="C266" s="268" t="s">
        <v>904</v>
      </c>
      <c r="D266" s="318"/>
      <c r="E266" s="360"/>
      <c r="F266" s="360"/>
      <c r="G266" s="372"/>
      <c r="H266" s="373"/>
      <c r="I266" s="373"/>
      <c r="J266" s="373"/>
      <c r="K266" s="407">
        <v>0</v>
      </c>
    </row>
    <row r="267" spans="1:11" s="302" customFormat="1" ht="18.75">
      <c r="A267" s="269" t="s">
        <v>933</v>
      </c>
      <c r="B267" s="357" t="s">
        <v>901</v>
      </c>
      <c r="C267" s="268" t="s">
        <v>904</v>
      </c>
      <c r="D267" s="423">
        <f>D25*1.18-D169</f>
        <v>51.36552972000001</v>
      </c>
      <c r="E267" s="401">
        <f>E25*1.2-E169</f>
        <v>271.1997</v>
      </c>
      <c r="F267" s="401">
        <v>26.849797563936</v>
      </c>
      <c r="G267" s="401">
        <v>27</v>
      </c>
      <c r="H267" s="401">
        <v>27.0999</v>
      </c>
      <c r="I267" s="401">
        <v>27.2082996</v>
      </c>
      <c r="J267" s="401">
        <v>27.3171327984</v>
      </c>
      <c r="K267" s="447">
        <v>135.475129962336</v>
      </c>
    </row>
    <row r="268" spans="1:11" s="302" customFormat="1" ht="18.75">
      <c r="A268" s="269" t="s">
        <v>934</v>
      </c>
      <c r="B268" s="344" t="s">
        <v>211</v>
      </c>
      <c r="C268" s="268" t="s">
        <v>904</v>
      </c>
      <c r="D268" s="318"/>
      <c r="E268" s="360"/>
      <c r="F268" s="360"/>
      <c r="G268" s="372"/>
      <c r="H268" s="373"/>
      <c r="I268" s="373"/>
      <c r="J268" s="373"/>
      <c r="K268" s="447">
        <f aca="true" t="shared" si="3" ref="K268:K284">SUM(F268:J268)</f>
        <v>0</v>
      </c>
    </row>
    <row r="269" spans="1:11" s="302" customFormat="1" ht="18.75">
      <c r="A269" s="269" t="s">
        <v>935</v>
      </c>
      <c r="B269" s="357" t="s">
        <v>101</v>
      </c>
      <c r="C269" s="268" t="s">
        <v>904</v>
      </c>
      <c r="D269" s="318"/>
      <c r="E269" s="360"/>
      <c r="F269" s="360"/>
      <c r="G269" s="372"/>
      <c r="H269" s="373"/>
      <c r="I269" s="373"/>
      <c r="J269" s="373"/>
      <c r="K269" s="447">
        <f t="shared" si="3"/>
        <v>0</v>
      </c>
    </row>
    <row r="270" spans="1:11" s="302" customFormat="1" ht="18.75">
      <c r="A270" s="269" t="s">
        <v>936</v>
      </c>
      <c r="B270" s="344" t="s">
        <v>211</v>
      </c>
      <c r="C270" s="268" t="s">
        <v>904</v>
      </c>
      <c r="D270" s="318"/>
      <c r="E270" s="360"/>
      <c r="F270" s="360"/>
      <c r="G270" s="372"/>
      <c r="H270" s="373"/>
      <c r="I270" s="373"/>
      <c r="J270" s="373"/>
      <c r="K270" s="447">
        <f t="shared" si="3"/>
        <v>0</v>
      </c>
    </row>
    <row r="271" spans="1:11" s="302" customFormat="1" ht="18.75">
      <c r="A271" s="269" t="s">
        <v>937</v>
      </c>
      <c r="B271" s="357" t="s">
        <v>902</v>
      </c>
      <c r="C271" s="268" t="s">
        <v>904</v>
      </c>
      <c r="D271" s="318"/>
      <c r="E271" s="360"/>
      <c r="F271" s="360"/>
      <c r="G271" s="372"/>
      <c r="H271" s="373"/>
      <c r="I271" s="373"/>
      <c r="J271" s="373"/>
      <c r="K271" s="447">
        <f t="shared" si="3"/>
        <v>0</v>
      </c>
    </row>
    <row r="272" spans="1:11" s="302" customFormat="1" ht="18.75">
      <c r="A272" s="269" t="s">
        <v>938</v>
      </c>
      <c r="B272" s="344" t="s">
        <v>211</v>
      </c>
      <c r="C272" s="268" t="s">
        <v>904</v>
      </c>
      <c r="D272" s="318"/>
      <c r="E272" s="360"/>
      <c r="F272" s="360"/>
      <c r="G272" s="372"/>
      <c r="H272" s="373"/>
      <c r="I272" s="373"/>
      <c r="J272" s="373"/>
      <c r="K272" s="447">
        <f t="shared" si="3"/>
        <v>0</v>
      </c>
    </row>
    <row r="273" spans="1:11" s="302" customFormat="1" ht="18.75">
      <c r="A273" s="269" t="s">
        <v>146</v>
      </c>
      <c r="B273" s="357" t="s">
        <v>903</v>
      </c>
      <c r="C273" s="268" t="s">
        <v>904</v>
      </c>
      <c r="D273" s="318"/>
      <c r="E273" s="360"/>
      <c r="F273" s="360"/>
      <c r="G273" s="372"/>
      <c r="H273" s="373"/>
      <c r="I273" s="373"/>
      <c r="J273" s="373"/>
      <c r="K273" s="447">
        <f t="shared" si="3"/>
        <v>0</v>
      </c>
    </row>
    <row r="274" spans="1:11" s="302" customFormat="1" ht="18.75">
      <c r="A274" s="269" t="s">
        <v>939</v>
      </c>
      <c r="B274" s="344" t="s">
        <v>211</v>
      </c>
      <c r="C274" s="268" t="s">
        <v>904</v>
      </c>
      <c r="D274" s="318"/>
      <c r="E274" s="360"/>
      <c r="F274" s="360"/>
      <c r="G274" s="372"/>
      <c r="H274" s="373"/>
      <c r="I274" s="373"/>
      <c r="J274" s="373"/>
      <c r="K274" s="447">
        <f t="shared" si="3"/>
        <v>0</v>
      </c>
    </row>
    <row r="275" spans="1:11" s="302" customFormat="1" ht="18.75">
      <c r="A275" s="269" t="s">
        <v>1054</v>
      </c>
      <c r="B275" s="357" t="s">
        <v>108</v>
      </c>
      <c r="C275" s="268" t="s">
        <v>904</v>
      </c>
      <c r="D275" s="318"/>
      <c r="E275" s="360"/>
      <c r="F275" s="360"/>
      <c r="G275" s="372"/>
      <c r="H275" s="373"/>
      <c r="I275" s="373"/>
      <c r="J275" s="373"/>
      <c r="K275" s="447">
        <f t="shared" si="3"/>
        <v>0</v>
      </c>
    </row>
    <row r="276" spans="1:11" s="302" customFormat="1" ht="18.75">
      <c r="A276" s="269" t="s">
        <v>940</v>
      </c>
      <c r="B276" s="344" t="s">
        <v>211</v>
      </c>
      <c r="C276" s="268" t="s">
        <v>904</v>
      </c>
      <c r="D276" s="318"/>
      <c r="E276" s="360"/>
      <c r="F276" s="360"/>
      <c r="G276" s="372"/>
      <c r="H276" s="373"/>
      <c r="I276" s="373"/>
      <c r="J276" s="373"/>
      <c r="K276" s="447">
        <f t="shared" si="3"/>
        <v>0</v>
      </c>
    </row>
    <row r="277" spans="1:11" s="302" customFormat="1" ht="31.5">
      <c r="A277" s="269" t="s">
        <v>941</v>
      </c>
      <c r="B277" s="342" t="s">
        <v>83</v>
      </c>
      <c r="C277" s="268" t="s">
        <v>904</v>
      </c>
      <c r="D277" s="318"/>
      <c r="E277" s="360"/>
      <c r="F277" s="360"/>
      <c r="G277" s="372"/>
      <c r="H277" s="373"/>
      <c r="I277" s="373"/>
      <c r="J277" s="373"/>
      <c r="K277" s="447">
        <f t="shared" si="3"/>
        <v>0</v>
      </c>
    </row>
    <row r="278" spans="1:12" s="302" customFormat="1" ht="18.75">
      <c r="A278" s="269" t="s">
        <v>942</v>
      </c>
      <c r="B278" s="344" t="s">
        <v>211</v>
      </c>
      <c r="C278" s="268" t="s">
        <v>904</v>
      </c>
      <c r="D278" s="318"/>
      <c r="E278" s="360"/>
      <c r="F278" s="360"/>
      <c r="G278" s="372"/>
      <c r="H278" s="373"/>
      <c r="I278" s="373"/>
      <c r="J278" s="373"/>
      <c r="K278" s="447">
        <f t="shared" si="3"/>
        <v>0</v>
      </c>
      <c r="L278" s="322"/>
    </row>
    <row r="279" spans="1:11" s="302" customFormat="1" ht="18.75">
      <c r="A279" s="269" t="s">
        <v>39</v>
      </c>
      <c r="B279" s="344" t="s">
        <v>798</v>
      </c>
      <c r="C279" s="268" t="s">
        <v>904</v>
      </c>
      <c r="D279" s="318"/>
      <c r="E279" s="360"/>
      <c r="F279" s="360"/>
      <c r="G279" s="372"/>
      <c r="H279" s="373"/>
      <c r="I279" s="373"/>
      <c r="J279" s="373"/>
      <c r="K279" s="447">
        <f t="shared" si="3"/>
        <v>0</v>
      </c>
    </row>
    <row r="280" spans="1:11" s="302" customFormat="1" ht="18.75">
      <c r="A280" s="269" t="s">
        <v>41</v>
      </c>
      <c r="B280" s="273" t="s">
        <v>211</v>
      </c>
      <c r="C280" s="268" t="s">
        <v>904</v>
      </c>
      <c r="D280" s="318"/>
      <c r="E280" s="360"/>
      <c r="F280" s="360"/>
      <c r="G280" s="372"/>
      <c r="H280" s="373"/>
      <c r="I280" s="373"/>
      <c r="J280" s="373"/>
      <c r="K280" s="447">
        <f t="shared" si="3"/>
        <v>0</v>
      </c>
    </row>
    <row r="281" spans="1:11" s="302" customFormat="1" ht="18.75">
      <c r="A281" s="269" t="s">
        <v>40</v>
      </c>
      <c r="B281" s="344" t="s">
        <v>786</v>
      </c>
      <c r="C281" s="268" t="s">
        <v>904</v>
      </c>
      <c r="D281" s="318"/>
      <c r="E281" s="360"/>
      <c r="F281" s="360"/>
      <c r="G281" s="372"/>
      <c r="H281" s="373"/>
      <c r="I281" s="373"/>
      <c r="J281" s="373"/>
      <c r="K281" s="447">
        <f t="shared" si="3"/>
        <v>0</v>
      </c>
    </row>
    <row r="282" spans="1:11" s="302" customFormat="1" ht="18.75">
      <c r="A282" s="269" t="s">
        <v>42</v>
      </c>
      <c r="B282" s="273" t="s">
        <v>211</v>
      </c>
      <c r="C282" s="268" t="s">
        <v>904</v>
      </c>
      <c r="D282" s="318"/>
      <c r="E282" s="360"/>
      <c r="F282" s="360"/>
      <c r="G282" s="372"/>
      <c r="H282" s="373"/>
      <c r="I282" s="373"/>
      <c r="J282" s="373"/>
      <c r="K282" s="447">
        <f t="shared" si="3"/>
        <v>0</v>
      </c>
    </row>
    <row r="283" spans="1:11" s="302" customFormat="1" ht="18.75">
      <c r="A283" s="269" t="s">
        <v>943</v>
      </c>
      <c r="B283" s="342" t="s">
        <v>951</v>
      </c>
      <c r="C283" s="268" t="s">
        <v>904</v>
      </c>
      <c r="D283" s="318"/>
      <c r="E283" s="360"/>
      <c r="F283" s="360"/>
      <c r="G283" s="372"/>
      <c r="H283" s="373"/>
      <c r="I283" s="373"/>
      <c r="J283" s="373"/>
      <c r="K283" s="447">
        <f t="shared" si="3"/>
        <v>0</v>
      </c>
    </row>
    <row r="284" spans="1:11" s="302" customFormat="1" ht="18.75">
      <c r="A284" s="269" t="s">
        <v>944</v>
      </c>
      <c r="B284" s="344" t="s">
        <v>211</v>
      </c>
      <c r="C284" s="268" t="s">
        <v>904</v>
      </c>
      <c r="D284" s="318"/>
      <c r="E284" s="360"/>
      <c r="F284" s="360"/>
      <c r="G284" s="372"/>
      <c r="H284" s="373"/>
      <c r="I284" s="373"/>
      <c r="J284" s="373"/>
      <c r="K284" s="447">
        <f t="shared" si="3"/>
        <v>0</v>
      </c>
    </row>
    <row r="285" spans="1:12" s="302" customFormat="1" ht="18.75">
      <c r="A285" s="274" t="s">
        <v>723</v>
      </c>
      <c r="B285" s="279" t="s">
        <v>84</v>
      </c>
      <c r="C285" s="268" t="s">
        <v>904</v>
      </c>
      <c r="D285" s="389">
        <f>D288+D295+D297+D305</f>
        <v>63.44578850999998</v>
      </c>
      <c r="E285" s="390">
        <f>E288+E295+E297+E305</f>
        <v>271.1997</v>
      </c>
      <c r="F285" s="390">
        <v>61.33340792999999</v>
      </c>
      <c r="G285" s="390">
        <v>27</v>
      </c>
      <c r="H285" s="390">
        <v>27.09732738</v>
      </c>
      <c r="I285" s="390">
        <v>27.20575668952</v>
      </c>
      <c r="J285" s="390">
        <v>27.32461971627808</v>
      </c>
      <c r="K285" s="389">
        <v>169.96111171579807</v>
      </c>
      <c r="L285" s="322"/>
    </row>
    <row r="286" spans="1:11" s="302" customFormat="1" ht="18.75">
      <c r="A286" s="269" t="s">
        <v>828</v>
      </c>
      <c r="B286" s="342" t="s">
        <v>719</v>
      </c>
      <c r="C286" s="268" t="s">
        <v>904</v>
      </c>
      <c r="D286" s="318"/>
      <c r="E286" s="360"/>
      <c r="F286" s="381"/>
      <c r="G286" s="382"/>
      <c r="H286" s="383"/>
      <c r="I286" s="383"/>
      <c r="J286" s="383"/>
      <c r="K286" s="389"/>
    </row>
    <row r="287" spans="1:11" s="302" customFormat="1" ht="18.75">
      <c r="A287" s="269" t="s">
        <v>829</v>
      </c>
      <c r="B287" s="344" t="s">
        <v>211</v>
      </c>
      <c r="C287" s="268" t="s">
        <v>904</v>
      </c>
      <c r="D287" s="318"/>
      <c r="E287" s="360"/>
      <c r="F287" s="381"/>
      <c r="G287" s="382"/>
      <c r="H287" s="383"/>
      <c r="I287" s="383"/>
      <c r="J287" s="383"/>
      <c r="K287" s="389"/>
    </row>
    <row r="288" spans="1:11" s="302" customFormat="1" ht="18.75">
      <c r="A288" s="269" t="s">
        <v>830</v>
      </c>
      <c r="B288" s="342" t="s">
        <v>85</v>
      </c>
      <c r="C288" s="268" t="s">
        <v>904</v>
      </c>
      <c r="D288" s="301">
        <f>D59*1.18-D189-2.4542433</f>
        <v>17.345788509999977</v>
      </c>
      <c r="E288" s="365">
        <f>E59*$L$288*$M$288</f>
        <v>0</v>
      </c>
      <c r="F288" s="401">
        <v>17.2412721</v>
      </c>
      <c r="G288" s="401">
        <v>17.8</v>
      </c>
      <c r="H288" s="401">
        <v>17.8</v>
      </c>
      <c r="I288" s="401">
        <v>17.8</v>
      </c>
      <c r="J288" s="401">
        <v>17.8</v>
      </c>
      <c r="K288" s="389">
        <v>88.44127209999999</v>
      </c>
    </row>
    <row r="289" spans="1:11" s="302" customFormat="1" ht="18.75">
      <c r="A289" s="269" t="s">
        <v>832</v>
      </c>
      <c r="B289" s="344" t="s">
        <v>793</v>
      </c>
      <c r="C289" s="268" t="s">
        <v>904</v>
      </c>
      <c r="D289" s="318"/>
      <c r="E289" s="360"/>
      <c r="F289" s="381"/>
      <c r="G289" s="382"/>
      <c r="H289" s="383"/>
      <c r="I289" s="383"/>
      <c r="J289" s="383"/>
      <c r="K289" s="389"/>
    </row>
    <row r="290" spans="1:11" s="302" customFormat="1" ht="18.75">
      <c r="A290" s="269" t="s">
        <v>833</v>
      </c>
      <c r="B290" s="273" t="s">
        <v>211</v>
      </c>
      <c r="C290" s="268" t="s">
        <v>904</v>
      </c>
      <c r="D290" s="318"/>
      <c r="E290" s="360"/>
      <c r="F290" s="381"/>
      <c r="G290" s="382"/>
      <c r="H290" s="383"/>
      <c r="I290" s="383"/>
      <c r="J290" s="383"/>
      <c r="K290" s="389"/>
    </row>
    <row r="291" spans="1:11" s="302" customFormat="1" ht="18.75">
      <c r="A291" s="269" t="s">
        <v>834</v>
      </c>
      <c r="B291" s="344" t="s">
        <v>854</v>
      </c>
      <c r="C291" s="268" t="s">
        <v>904</v>
      </c>
      <c r="D291" s="318"/>
      <c r="E291" s="360"/>
      <c r="F291" s="381"/>
      <c r="G291" s="382"/>
      <c r="H291" s="383"/>
      <c r="I291" s="383"/>
      <c r="J291" s="383"/>
      <c r="K291" s="389"/>
    </row>
    <row r="292" spans="1:11" s="302" customFormat="1" ht="18.75">
      <c r="A292" s="269" t="s">
        <v>835</v>
      </c>
      <c r="B292" s="273" t="s">
        <v>211</v>
      </c>
      <c r="C292" s="268" t="s">
        <v>904</v>
      </c>
      <c r="D292" s="318"/>
      <c r="E292" s="360"/>
      <c r="F292" s="381"/>
      <c r="G292" s="382"/>
      <c r="H292" s="383"/>
      <c r="I292" s="383"/>
      <c r="J292" s="383"/>
      <c r="K292" s="389"/>
    </row>
    <row r="293" spans="1:11" s="302" customFormat="1" ht="31.5">
      <c r="A293" s="269" t="s">
        <v>831</v>
      </c>
      <c r="B293" s="342" t="s">
        <v>1063</v>
      </c>
      <c r="C293" s="268" t="s">
        <v>904</v>
      </c>
      <c r="D293" s="318"/>
      <c r="E293" s="360"/>
      <c r="F293" s="381"/>
      <c r="G293" s="382"/>
      <c r="H293" s="383"/>
      <c r="I293" s="383"/>
      <c r="J293" s="383"/>
      <c r="K293" s="389"/>
    </row>
    <row r="294" spans="1:11" s="302" customFormat="1" ht="18.75">
      <c r="A294" s="269" t="s">
        <v>836</v>
      </c>
      <c r="B294" s="344" t="s">
        <v>211</v>
      </c>
      <c r="C294" s="268" t="s">
        <v>904</v>
      </c>
      <c r="D294" s="318"/>
      <c r="E294" s="360"/>
      <c r="F294" s="381"/>
      <c r="G294" s="382"/>
      <c r="H294" s="383"/>
      <c r="I294" s="383"/>
      <c r="J294" s="383"/>
      <c r="K294" s="389"/>
    </row>
    <row r="295" spans="1:11" s="302" customFormat="1" ht="18.75">
      <c r="A295" s="269" t="s">
        <v>837</v>
      </c>
      <c r="B295" s="342" t="s">
        <v>855</v>
      </c>
      <c r="C295" s="268" t="s">
        <v>904</v>
      </c>
      <c r="D295" s="424">
        <v>42.7</v>
      </c>
      <c r="E295" s="424">
        <f>E69*$L$288*$M$288</f>
        <v>0</v>
      </c>
      <c r="F295" s="393">
        <v>42.507</v>
      </c>
      <c r="G295" s="393">
        <v>7.48</v>
      </c>
      <c r="H295" s="393">
        <v>7.507676000000001</v>
      </c>
      <c r="I295" s="393">
        <v>7.5377067040000005</v>
      </c>
      <c r="J295" s="393">
        <v>7.567857530816001</v>
      </c>
      <c r="K295" s="389">
        <v>72.600240234816</v>
      </c>
    </row>
    <row r="296" spans="1:11" s="302" customFormat="1" ht="18.75">
      <c r="A296" s="269" t="s">
        <v>842</v>
      </c>
      <c r="B296" s="344" t="s">
        <v>211</v>
      </c>
      <c r="C296" s="268" t="s">
        <v>904</v>
      </c>
      <c r="D296" s="425"/>
      <c r="E296" s="426"/>
      <c r="F296" s="427"/>
      <c r="G296" s="427"/>
      <c r="H296" s="427"/>
      <c r="I296" s="427"/>
      <c r="J296" s="427"/>
      <c r="K296" s="389"/>
    </row>
    <row r="297" spans="1:11" s="302" customFormat="1" ht="18.75">
      <c r="A297" s="269" t="s">
        <v>838</v>
      </c>
      <c r="B297" s="342" t="s">
        <v>856</v>
      </c>
      <c r="C297" s="268" t="s">
        <v>904</v>
      </c>
      <c r="D297" s="424">
        <v>0.6</v>
      </c>
      <c r="E297" s="424">
        <v>0.65</v>
      </c>
      <c r="F297" s="393">
        <v>0.53513583</v>
      </c>
      <c r="G297" s="393">
        <v>0.6526000000000001</v>
      </c>
      <c r="H297" s="393">
        <v>0.6550146200000001</v>
      </c>
      <c r="I297" s="393">
        <v>0.6576346784800001</v>
      </c>
      <c r="J297" s="393">
        <v>0.6602652171939202</v>
      </c>
      <c r="K297" s="389">
        <v>3.16065034567392</v>
      </c>
    </row>
    <row r="298" spans="1:11" s="302" customFormat="1" ht="18.75">
      <c r="A298" s="269" t="s">
        <v>843</v>
      </c>
      <c r="B298" s="344" t="s">
        <v>211</v>
      </c>
      <c r="C298" s="268" t="s">
        <v>904</v>
      </c>
      <c r="D298" s="318"/>
      <c r="E298" s="360"/>
      <c r="F298" s="360"/>
      <c r="G298" s="372"/>
      <c r="H298" s="373"/>
      <c r="I298" s="373"/>
      <c r="J298" s="373"/>
      <c r="K298" s="447">
        <v>0</v>
      </c>
    </row>
    <row r="299" spans="1:11" s="302" customFormat="1" ht="18.75">
      <c r="A299" s="269" t="s">
        <v>839</v>
      </c>
      <c r="B299" s="342" t="s">
        <v>857</v>
      </c>
      <c r="C299" s="268" t="s">
        <v>904</v>
      </c>
      <c r="D299" s="318"/>
      <c r="E299" s="360"/>
      <c r="F299" s="360"/>
      <c r="G299" s="372"/>
      <c r="H299" s="373"/>
      <c r="I299" s="373"/>
      <c r="J299" s="373"/>
      <c r="K299" s="407">
        <v>0</v>
      </c>
    </row>
    <row r="300" spans="1:11" s="302" customFormat="1" ht="18.75">
      <c r="A300" s="269" t="s">
        <v>844</v>
      </c>
      <c r="B300" s="344" t="s">
        <v>211</v>
      </c>
      <c r="C300" s="268" t="s">
        <v>904</v>
      </c>
      <c r="D300" s="318"/>
      <c r="E300" s="360"/>
      <c r="F300" s="360"/>
      <c r="G300" s="372"/>
      <c r="H300" s="373"/>
      <c r="I300" s="373"/>
      <c r="J300" s="373"/>
      <c r="K300" s="407">
        <v>0</v>
      </c>
    </row>
    <row r="301" spans="1:11" s="302" customFormat="1" ht="18.75">
      <c r="A301" s="269" t="s">
        <v>840</v>
      </c>
      <c r="B301" s="342" t="s">
        <v>858</v>
      </c>
      <c r="C301" s="268" t="s">
        <v>904</v>
      </c>
      <c r="D301" s="318"/>
      <c r="E301" s="360"/>
      <c r="F301" s="360"/>
      <c r="G301" s="372"/>
      <c r="H301" s="373"/>
      <c r="I301" s="373"/>
      <c r="J301" s="373"/>
      <c r="K301" s="407">
        <v>0</v>
      </c>
    </row>
    <row r="302" spans="1:11" s="302" customFormat="1" ht="18.75">
      <c r="A302" s="269" t="s">
        <v>845</v>
      </c>
      <c r="B302" s="344" t="s">
        <v>211</v>
      </c>
      <c r="C302" s="268" t="s">
        <v>904</v>
      </c>
      <c r="D302" s="318"/>
      <c r="E302" s="360"/>
      <c r="F302" s="360"/>
      <c r="G302" s="372"/>
      <c r="H302" s="373"/>
      <c r="I302" s="373"/>
      <c r="J302" s="373"/>
      <c r="K302" s="407">
        <v>0</v>
      </c>
    </row>
    <row r="303" spans="1:11" s="302" customFormat="1" ht="31.5">
      <c r="A303" s="269" t="s">
        <v>841</v>
      </c>
      <c r="B303" s="342" t="s">
        <v>889</v>
      </c>
      <c r="C303" s="268" t="s">
        <v>904</v>
      </c>
      <c r="D303" s="318"/>
      <c r="E303" s="360"/>
      <c r="F303" s="360"/>
      <c r="G303" s="372"/>
      <c r="H303" s="373"/>
      <c r="I303" s="373"/>
      <c r="J303" s="373"/>
      <c r="K303" s="407">
        <v>0</v>
      </c>
    </row>
    <row r="304" spans="1:11" s="302" customFormat="1" ht="18.75">
      <c r="A304" s="269" t="s">
        <v>846</v>
      </c>
      <c r="B304" s="344" t="s">
        <v>211</v>
      </c>
      <c r="C304" s="268" t="s">
        <v>904</v>
      </c>
      <c r="D304" s="318"/>
      <c r="E304" s="360"/>
      <c r="F304" s="360"/>
      <c r="G304" s="372"/>
      <c r="H304" s="373"/>
      <c r="I304" s="373"/>
      <c r="J304" s="373"/>
      <c r="K304" s="407">
        <v>0</v>
      </c>
    </row>
    <row r="305" spans="1:11" s="302" customFormat="1" ht="18.75">
      <c r="A305" s="269" t="s">
        <v>1073</v>
      </c>
      <c r="B305" s="342" t="s">
        <v>1074</v>
      </c>
      <c r="C305" s="268" t="s">
        <v>904</v>
      </c>
      <c r="D305" s="428">
        <v>2.8</v>
      </c>
      <c r="E305" s="429">
        <f>E256-E288-E295-E297</f>
        <v>270.54970000000003</v>
      </c>
      <c r="F305" s="401">
        <v>1.05</v>
      </c>
      <c r="G305" s="401">
        <v>1.0674000000000006</v>
      </c>
      <c r="H305" s="401">
        <v>1.13463676</v>
      </c>
      <c r="I305" s="401">
        <v>1.2104153070399983</v>
      </c>
      <c r="J305" s="401">
        <v>1.2964969682681553</v>
      </c>
      <c r="K305" s="389">
        <v>5.758949035308154</v>
      </c>
    </row>
    <row r="306" spans="1:11" s="302" customFormat="1" ht="18.75">
      <c r="A306" s="269" t="s">
        <v>1075</v>
      </c>
      <c r="B306" s="344" t="s">
        <v>211</v>
      </c>
      <c r="C306" s="268" t="s">
        <v>904</v>
      </c>
      <c r="D306" s="318"/>
      <c r="E306" s="360"/>
      <c r="F306" s="360"/>
      <c r="G306" s="372"/>
      <c r="H306" s="373"/>
      <c r="I306" s="373"/>
      <c r="J306" s="373"/>
      <c r="K306" s="447">
        <v>0</v>
      </c>
    </row>
    <row r="307" spans="1:11" s="302" customFormat="1" ht="31.5">
      <c r="A307" s="269" t="s">
        <v>724</v>
      </c>
      <c r="B307" s="279" t="s">
        <v>86</v>
      </c>
      <c r="C307" s="268" t="s">
        <v>180</v>
      </c>
      <c r="D307" s="318"/>
      <c r="E307" s="360"/>
      <c r="F307" s="360"/>
      <c r="G307" s="372"/>
      <c r="H307" s="373"/>
      <c r="I307" s="373"/>
      <c r="J307" s="373"/>
      <c r="K307" s="447">
        <v>0</v>
      </c>
    </row>
    <row r="308" spans="1:11" s="302" customFormat="1" ht="18.75">
      <c r="A308" s="269" t="s">
        <v>847</v>
      </c>
      <c r="B308" s="342" t="s">
        <v>1113</v>
      </c>
      <c r="C308" s="268" t="s">
        <v>180</v>
      </c>
      <c r="D308" s="318"/>
      <c r="E308" s="360"/>
      <c r="F308" s="360"/>
      <c r="G308" s="372"/>
      <c r="H308" s="373"/>
      <c r="I308" s="373"/>
      <c r="J308" s="373"/>
      <c r="K308" s="447">
        <v>0</v>
      </c>
    </row>
    <row r="309" spans="1:11" s="302" customFormat="1" ht="31.5">
      <c r="A309" s="269" t="s">
        <v>1078</v>
      </c>
      <c r="B309" s="342" t="s">
        <v>1114</v>
      </c>
      <c r="C309" s="268" t="s">
        <v>180</v>
      </c>
      <c r="D309" s="318"/>
      <c r="E309" s="360"/>
      <c r="F309" s="360"/>
      <c r="G309" s="372"/>
      <c r="H309" s="373"/>
      <c r="I309" s="373"/>
      <c r="J309" s="373"/>
      <c r="K309" s="447">
        <v>0</v>
      </c>
    </row>
    <row r="310" spans="1:11" s="302" customFormat="1" ht="31.5">
      <c r="A310" s="269" t="s">
        <v>1079</v>
      </c>
      <c r="B310" s="342" t="s">
        <v>1115</v>
      </c>
      <c r="C310" s="268" t="s">
        <v>180</v>
      </c>
      <c r="D310" s="318"/>
      <c r="E310" s="360"/>
      <c r="F310" s="360"/>
      <c r="G310" s="372"/>
      <c r="H310" s="373"/>
      <c r="I310" s="373"/>
      <c r="J310" s="373"/>
      <c r="K310" s="447">
        <v>0</v>
      </c>
    </row>
    <row r="311" spans="1:11" s="302" customFormat="1" ht="31.5">
      <c r="A311" s="269" t="s">
        <v>43</v>
      </c>
      <c r="B311" s="342" t="s">
        <v>1116</v>
      </c>
      <c r="C311" s="268" t="s">
        <v>180</v>
      </c>
      <c r="D311" s="318"/>
      <c r="E311" s="360"/>
      <c r="F311" s="360"/>
      <c r="G311" s="372"/>
      <c r="H311" s="373"/>
      <c r="I311" s="373"/>
      <c r="J311" s="373"/>
      <c r="K311" s="447">
        <v>0</v>
      </c>
    </row>
    <row r="312" spans="1:11" s="302" customFormat="1" ht="18.75">
      <c r="A312" s="269" t="s">
        <v>848</v>
      </c>
      <c r="B312" s="357" t="s">
        <v>109</v>
      </c>
      <c r="C312" s="268" t="s">
        <v>180</v>
      </c>
      <c r="D312" s="318"/>
      <c r="E312" s="360"/>
      <c r="F312" s="360"/>
      <c r="G312" s="372"/>
      <c r="H312" s="373"/>
      <c r="I312" s="373"/>
      <c r="J312" s="373"/>
      <c r="K312" s="447">
        <v>0</v>
      </c>
    </row>
    <row r="313" spans="1:11" s="302" customFormat="1" ht="18.75">
      <c r="A313" s="269" t="s">
        <v>849</v>
      </c>
      <c r="B313" s="357" t="s">
        <v>1117</v>
      </c>
      <c r="C313" s="268" t="s">
        <v>180</v>
      </c>
      <c r="D313" s="374">
        <f>D175/(D31*1.18)</f>
        <v>0.7796290538498003</v>
      </c>
      <c r="E313" s="374">
        <f>E175/(E31*1.2)</f>
        <v>0</v>
      </c>
      <c r="F313" s="374">
        <v>0.9793513871047805</v>
      </c>
      <c r="G313" s="374">
        <v>0.9882348380681563</v>
      </c>
      <c r="H313" s="374">
        <v>0.9936696131884375</v>
      </c>
      <c r="I313" s="374">
        <v>0.9941672744399069</v>
      </c>
      <c r="J313" s="374">
        <v>0.9941393588340901</v>
      </c>
      <c r="K313" s="446">
        <v>4.949562471635371</v>
      </c>
    </row>
    <row r="314" spans="1:11" s="302" customFormat="1" ht="18.75">
      <c r="A314" s="269" t="s">
        <v>850</v>
      </c>
      <c r="B314" s="357" t="s">
        <v>102</v>
      </c>
      <c r="C314" s="268" t="s">
        <v>180</v>
      </c>
      <c r="D314" s="430"/>
      <c r="E314" s="360"/>
      <c r="F314" s="360"/>
      <c r="G314" s="372"/>
      <c r="H314" s="373"/>
      <c r="I314" s="373"/>
      <c r="J314" s="373"/>
      <c r="K314" s="407">
        <f aca="true" t="shared" si="4" ref="K314:K319">SUM(F314:J314)</f>
        <v>0</v>
      </c>
    </row>
    <row r="315" spans="1:11" s="302" customFormat="1" ht="18.75">
      <c r="A315" s="269" t="s">
        <v>851</v>
      </c>
      <c r="B315" s="357" t="s">
        <v>1118</v>
      </c>
      <c r="C315" s="268" t="s">
        <v>180</v>
      </c>
      <c r="D315" s="318"/>
      <c r="E315" s="360"/>
      <c r="F315" s="360"/>
      <c r="G315" s="372"/>
      <c r="H315" s="373"/>
      <c r="I315" s="373"/>
      <c r="J315" s="373"/>
      <c r="K315" s="407">
        <f t="shared" si="4"/>
        <v>0</v>
      </c>
    </row>
    <row r="316" spans="1:11" s="302" customFormat="1" ht="18.75">
      <c r="A316" s="269" t="s">
        <v>852</v>
      </c>
      <c r="B316" s="357" t="s">
        <v>110</v>
      </c>
      <c r="C316" s="268" t="s">
        <v>180</v>
      </c>
      <c r="D316" s="318"/>
      <c r="E316" s="360"/>
      <c r="F316" s="360"/>
      <c r="G316" s="372"/>
      <c r="H316" s="373"/>
      <c r="I316" s="373"/>
      <c r="J316" s="373"/>
      <c r="K316" s="407">
        <f t="shared" si="4"/>
        <v>0</v>
      </c>
    </row>
    <row r="317" spans="1:11" s="302" customFormat="1" ht="31.5">
      <c r="A317" s="269" t="s">
        <v>853</v>
      </c>
      <c r="B317" s="342" t="s">
        <v>87</v>
      </c>
      <c r="C317" s="268" t="s">
        <v>180</v>
      </c>
      <c r="D317" s="318"/>
      <c r="E317" s="360"/>
      <c r="F317" s="360"/>
      <c r="G317" s="372"/>
      <c r="H317" s="373"/>
      <c r="I317" s="373"/>
      <c r="J317" s="373"/>
      <c r="K317" s="407">
        <f t="shared" si="4"/>
        <v>0</v>
      </c>
    </row>
    <row r="318" spans="1:11" s="302" customFormat="1" ht="18.75">
      <c r="A318" s="269" t="s">
        <v>143</v>
      </c>
      <c r="B318" s="431" t="s">
        <v>798</v>
      </c>
      <c r="C318" s="268" t="s">
        <v>180</v>
      </c>
      <c r="D318" s="318"/>
      <c r="E318" s="360"/>
      <c r="F318" s="360"/>
      <c r="G318" s="372"/>
      <c r="H318" s="373"/>
      <c r="I318" s="373"/>
      <c r="J318" s="373"/>
      <c r="K318" s="407">
        <f t="shared" si="4"/>
        <v>0</v>
      </c>
    </row>
    <row r="319" spans="1:11" s="302" customFormat="1" ht="18.75">
      <c r="A319" s="269" t="s">
        <v>144</v>
      </c>
      <c r="B319" s="431" t="s">
        <v>786</v>
      </c>
      <c r="C319" s="268" t="s">
        <v>180</v>
      </c>
      <c r="D319" s="318"/>
      <c r="E319" s="360"/>
      <c r="F319" s="360"/>
      <c r="G319" s="372"/>
      <c r="H319" s="373"/>
      <c r="I319" s="373"/>
      <c r="J319" s="373"/>
      <c r="K319" s="407">
        <f t="shared" si="4"/>
        <v>0</v>
      </c>
    </row>
    <row r="320" spans="1:11" s="302" customFormat="1" ht="18.75">
      <c r="A320" s="466" t="s">
        <v>720</v>
      </c>
      <c r="B320" s="466"/>
      <c r="C320" s="466"/>
      <c r="D320" s="466"/>
      <c r="E320" s="466"/>
      <c r="F320" s="466"/>
      <c r="G320" s="466"/>
      <c r="H320" s="466"/>
      <c r="I320" s="466"/>
      <c r="J320" s="466"/>
      <c r="K320" s="466"/>
    </row>
    <row r="321" spans="1:11" ht="31.5">
      <c r="A321" s="274" t="s">
        <v>725</v>
      </c>
      <c r="B321" s="275" t="s">
        <v>763</v>
      </c>
      <c r="C321" s="268" t="s">
        <v>436</v>
      </c>
      <c r="D321" s="416"/>
      <c r="E321" s="432" t="s">
        <v>743</v>
      </c>
      <c r="F321" s="432"/>
      <c r="G321" s="433" t="s">
        <v>743</v>
      </c>
      <c r="H321" s="433" t="s">
        <v>743</v>
      </c>
      <c r="I321" s="433"/>
      <c r="J321" s="433"/>
      <c r="K321" s="433" t="s">
        <v>743</v>
      </c>
    </row>
    <row r="322" spans="1:11" ht="18.75">
      <c r="A322" s="269" t="s">
        <v>726</v>
      </c>
      <c r="B322" s="270" t="s">
        <v>764</v>
      </c>
      <c r="C322" s="268" t="s">
        <v>183</v>
      </c>
      <c r="D322" s="318"/>
      <c r="E322" s="360"/>
      <c r="F322" s="360"/>
      <c r="G322" s="372"/>
      <c r="H322" s="373"/>
      <c r="I322" s="373"/>
      <c r="J322" s="373"/>
      <c r="K322" s="373"/>
    </row>
    <row r="323" spans="1:11" ht="18.75">
      <c r="A323" s="269" t="s">
        <v>727</v>
      </c>
      <c r="B323" s="270" t="s">
        <v>765</v>
      </c>
      <c r="C323" s="268" t="s">
        <v>766</v>
      </c>
      <c r="D323" s="318"/>
      <c r="E323" s="360"/>
      <c r="F323" s="360"/>
      <c r="G323" s="372"/>
      <c r="H323" s="373"/>
      <c r="I323" s="373"/>
      <c r="J323" s="373"/>
      <c r="K323" s="373"/>
    </row>
    <row r="324" spans="1:11" ht="18.75">
      <c r="A324" s="269" t="s">
        <v>728</v>
      </c>
      <c r="B324" s="270" t="s">
        <v>767</v>
      </c>
      <c r="C324" s="268" t="s">
        <v>183</v>
      </c>
      <c r="D324" s="318"/>
      <c r="E324" s="360"/>
      <c r="F324" s="360"/>
      <c r="G324" s="372"/>
      <c r="H324" s="373"/>
      <c r="I324" s="373"/>
      <c r="J324" s="373"/>
      <c r="K324" s="373"/>
    </row>
    <row r="325" spans="1:11" ht="18.75">
      <c r="A325" s="269" t="s">
        <v>729</v>
      </c>
      <c r="B325" s="270" t="s">
        <v>769</v>
      </c>
      <c r="C325" s="268" t="s">
        <v>766</v>
      </c>
      <c r="D325" s="318"/>
      <c r="E325" s="360"/>
      <c r="F325" s="360"/>
      <c r="G325" s="372"/>
      <c r="H325" s="373"/>
      <c r="I325" s="373"/>
      <c r="J325" s="373"/>
      <c r="K325" s="373"/>
    </row>
    <row r="326" spans="1:11" ht="18.75">
      <c r="A326" s="269" t="s">
        <v>731</v>
      </c>
      <c r="B326" s="270" t="s">
        <v>768</v>
      </c>
      <c r="C326" s="268" t="s">
        <v>341</v>
      </c>
      <c r="D326" s="318"/>
      <c r="E326" s="360"/>
      <c r="F326" s="360"/>
      <c r="G326" s="372"/>
      <c r="H326" s="373"/>
      <c r="I326" s="373"/>
      <c r="J326" s="373"/>
      <c r="K326" s="373"/>
    </row>
    <row r="327" spans="1:11" ht="18.75">
      <c r="A327" s="269" t="s">
        <v>859</v>
      </c>
      <c r="B327" s="270" t="s">
        <v>730</v>
      </c>
      <c r="C327" s="268" t="s">
        <v>436</v>
      </c>
      <c r="D327" s="416"/>
      <c r="E327" s="432" t="s">
        <v>743</v>
      </c>
      <c r="F327" s="432"/>
      <c r="G327" s="433" t="s">
        <v>743</v>
      </c>
      <c r="H327" s="433" t="s">
        <v>743</v>
      </c>
      <c r="I327" s="433"/>
      <c r="J327" s="433"/>
      <c r="K327" s="433" t="s">
        <v>743</v>
      </c>
    </row>
    <row r="328" spans="1:11" ht="18.75">
      <c r="A328" s="269" t="s">
        <v>860</v>
      </c>
      <c r="B328" s="342" t="s">
        <v>733</v>
      </c>
      <c r="C328" s="268" t="s">
        <v>341</v>
      </c>
      <c r="D328" s="318"/>
      <c r="E328" s="360"/>
      <c r="F328" s="360"/>
      <c r="G328" s="372"/>
      <c r="H328" s="373"/>
      <c r="I328" s="373"/>
      <c r="J328" s="373"/>
      <c r="K328" s="373"/>
    </row>
    <row r="329" spans="1:11" ht="18.75">
      <c r="A329" s="269" t="s">
        <v>861</v>
      </c>
      <c r="B329" s="342" t="s">
        <v>732</v>
      </c>
      <c r="C329" s="268" t="s">
        <v>184</v>
      </c>
      <c r="D329" s="318"/>
      <c r="E329" s="360"/>
      <c r="F329" s="360"/>
      <c r="G329" s="372"/>
      <c r="H329" s="373"/>
      <c r="I329" s="373"/>
      <c r="J329" s="373"/>
      <c r="K329" s="373"/>
    </row>
    <row r="330" spans="1:11" ht="18.75">
      <c r="A330" s="269" t="s">
        <v>862</v>
      </c>
      <c r="B330" s="270" t="s">
        <v>1068</v>
      </c>
      <c r="C330" s="268" t="s">
        <v>436</v>
      </c>
      <c r="D330" s="416"/>
      <c r="E330" s="432" t="s">
        <v>743</v>
      </c>
      <c r="F330" s="432"/>
      <c r="G330" s="433" t="s">
        <v>743</v>
      </c>
      <c r="H330" s="433" t="s">
        <v>743</v>
      </c>
      <c r="I330" s="433"/>
      <c r="J330" s="433"/>
      <c r="K330" s="433" t="s">
        <v>743</v>
      </c>
    </row>
    <row r="331" spans="1:11" ht="18.75">
      <c r="A331" s="269" t="s">
        <v>863</v>
      </c>
      <c r="B331" s="342" t="s">
        <v>733</v>
      </c>
      <c r="C331" s="268" t="s">
        <v>341</v>
      </c>
      <c r="D331" s="318"/>
      <c r="E331" s="360"/>
      <c r="F331" s="360"/>
      <c r="G331" s="372"/>
      <c r="H331" s="373"/>
      <c r="I331" s="373"/>
      <c r="J331" s="373"/>
      <c r="K331" s="373"/>
    </row>
    <row r="332" spans="1:11" ht="18.75">
      <c r="A332" s="269" t="s">
        <v>864</v>
      </c>
      <c r="B332" s="342" t="s">
        <v>734</v>
      </c>
      <c r="C332" s="268" t="s">
        <v>183</v>
      </c>
      <c r="D332" s="318"/>
      <c r="E332" s="360"/>
      <c r="F332" s="360"/>
      <c r="G332" s="372"/>
      <c r="H332" s="373"/>
      <c r="I332" s="373"/>
      <c r="J332" s="373"/>
      <c r="K332" s="373"/>
    </row>
    <row r="333" spans="1:11" ht="18.75">
      <c r="A333" s="269" t="s">
        <v>865</v>
      </c>
      <c r="B333" s="342" t="s">
        <v>732</v>
      </c>
      <c r="C333" s="268" t="s">
        <v>184</v>
      </c>
      <c r="D333" s="318"/>
      <c r="E333" s="360"/>
      <c r="F333" s="360"/>
      <c r="G333" s="372"/>
      <c r="H333" s="373"/>
      <c r="I333" s="373"/>
      <c r="J333" s="373"/>
      <c r="K333" s="373"/>
    </row>
    <row r="334" spans="1:11" ht="18.75">
      <c r="A334" s="269" t="s">
        <v>866</v>
      </c>
      <c r="B334" s="270" t="s">
        <v>181</v>
      </c>
      <c r="C334" s="268" t="s">
        <v>436</v>
      </c>
      <c r="D334" s="416"/>
      <c r="E334" s="432" t="s">
        <v>743</v>
      </c>
      <c r="F334" s="432"/>
      <c r="G334" s="433" t="s">
        <v>743</v>
      </c>
      <c r="H334" s="433" t="s">
        <v>743</v>
      </c>
      <c r="I334" s="433"/>
      <c r="J334" s="433"/>
      <c r="K334" s="433" t="s">
        <v>743</v>
      </c>
    </row>
    <row r="335" spans="1:11" ht="18.75">
      <c r="A335" s="269" t="s">
        <v>867</v>
      </c>
      <c r="B335" s="342" t="s">
        <v>733</v>
      </c>
      <c r="C335" s="268" t="s">
        <v>341</v>
      </c>
      <c r="D335" s="318"/>
      <c r="E335" s="360"/>
      <c r="F335" s="360"/>
      <c r="G335" s="372"/>
      <c r="H335" s="373"/>
      <c r="I335" s="373"/>
      <c r="J335" s="373"/>
      <c r="K335" s="373"/>
    </row>
    <row r="336" spans="1:11" ht="18.75">
      <c r="A336" s="269" t="s">
        <v>868</v>
      </c>
      <c r="B336" s="342" t="s">
        <v>732</v>
      </c>
      <c r="C336" s="268" t="s">
        <v>184</v>
      </c>
      <c r="D336" s="318"/>
      <c r="E336" s="360"/>
      <c r="F336" s="360"/>
      <c r="G336" s="372"/>
      <c r="H336" s="373"/>
      <c r="I336" s="373"/>
      <c r="J336" s="373"/>
      <c r="K336" s="373"/>
    </row>
    <row r="337" spans="1:11" ht="18.75">
      <c r="A337" s="269" t="s">
        <v>869</v>
      </c>
      <c r="B337" s="270" t="s">
        <v>182</v>
      </c>
      <c r="C337" s="268" t="s">
        <v>436</v>
      </c>
      <c r="D337" s="416"/>
      <c r="E337" s="432" t="s">
        <v>743</v>
      </c>
      <c r="F337" s="432"/>
      <c r="G337" s="433" t="s">
        <v>743</v>
      </c>
      <c r="H337" s="433" t="s">
        <v>743</v>
      </c>
      <c r="I337" s="433"/>
      <c r="J337" s="433"/>
      <c r="K337" s="433" t="s">
        <v>743</v>
      </c>
    </row>
    <row r="338" spans="1:11" ht="18.75">
      <c r="A338" s="269" t="s">
        <v>870</v>
      </c>
      <c r="B338" s="342" t="s">
        <v>733</v>
      </c>
      <c r="C338" s="268" t="s">
        <v>341</v>
      </c>
      <c r="D338" s="318"/>
      <c r="E338" s="360"/>
      <c r="F338" s="360"/>
      <c r="G338" s="372"/>
      <c r="H338" s="373"/>
      <c r="I338" s="373"/>
      <c r="J338" s="373"/>
      <c r="K338" s="373"/>
    </row>
    <row r="339" spans="1:11" ht="18.75">
      <c r="A339" s="269" t="s">
        <v>871</v>
      </c>
      <c r="B339" s="342" t="s">
        <v>734</v>
      </c>
      <c r="C339" s="268" t="s">
        <v>183</v>
      </c>
      <c r="D339" s="318"/>
      <c r="E339" s="360"/>
      <c r="F339" s="360"/>
      <c r="G339" s="372"/>
      <c r="H339" s="373"/>
      <c r="I339" s="373"/>
      <c r="J339" s="373"/>
      <c r="K339" s="373"/>
    </row>
    <row r="340" spans="1:11" ht="18.75">
      <c r="A340" s="269" t="s">
        <v>872</v>
      </c>
      <c r="B340" s="342" t="s">
        <v>732</v>
      </c>
      <c r="C340" s="268" t="s">
        <v>184</v>
      </c>
      <c r="D340" s="318"/>
      <c r="E340" s="360"/>
      <c r="F340" s="360"/>
      <c r="G340" s="372"/>
      <c r="H340" s="373"/>
      <c r="I340" s="373"/>
      <c r="J340" s="373"/>
      <c r="K340" s="406"/>
    </row>
    <row r="341" spans="1:11" ht="18.75">
      <c r="A341" s="274" t="s">
        <v>735</v>
      </c>
      <c r="B341" s="275" t="s">
        <v>770</v>
      </c>
      <c r="C341" s="276" t="s">
        <v>436</v>
      </c>
      <c r="D341" s="434"/>
      <c r="E341" s="435" t="s">
        <v>743</v>
      </c>
      <c r="F341" s="435"/>
      <c r="G341" s="436" t="s">
        <v>743</v>
      </c>
      <c r="H341" s="436" t="s">
        <v>743</v>
      </c>
      <c r="I341" s="436"/>
      <c r="J341" s="436"/>
      <c r="K341" s="436" t="s">
        <v>743</v>
      </c>
    </row>
    <row r="342" spans="1:11" ht="18.75">
      <c r="A342" s="269" t="s">
        <v>737</v>
      </c>
      <c r="B342" s="270" t="s">
        <v>88</v>
      </c>
      <c r="C342" s="268" t="s">
        <v>341</v>
      </c>
      <c r="D342" s="403">
        <f>231.6+130.8</f>
        <v>362.4</v>
      </c>
      <c r="E342" s="437">
        <v>363.51616</v>
      </c>
      <c r="F342" s="437">
        <v>358.0443</v>
      </c>
      <c r="G342" s="403">
        <v>366.73226</v>
      </c>
      <c r="H342" s="403">
        <v>367.0902</v>
      </c>
      <c r="I342" s="403">
        <v>367.0902</v>
      </c>
      <c r="J342" s="403">
        <v>367.0902</v>
      </c>
      <c r="K342" s="438">
        <v>1826.04716</v>
      </c>
    </row>
    <row r="343" spans="1:11" ht="31.5">
      <c r="A343" s="269" t="s">
        <v>873</v>
      </c>
      <c r="B343" s="342" t="s">
        <v>89</v>
      </c>
      <c r="C343" s="268" t="s">
        <v>341</v>
      </c>
      <c r="D343" s="403"/>
      <c r="E343" s="437"/>
      <c r="F343" s="437"/>
      <c r="G343" s="403"/>
      <c r="H343" s="438"/>
      <c r="I343" s="438"/>
      <c r="J343" s="438"/>
      <c r="K343" s="438">
        <v>0</v>
      </c>
    </row>
    <row r="344" spans="1:11" ht="18.75">
      <c r="A344" s="269" t="s">
        <v>1065</v>
      </c>
      <c r="B344" s="431" t="s">
        <v>1119</v>
      </c>
      <c r="C344" s="268" t="s">
        <v>341</v>
      </c>
      <c r="D344" s="403">
        <v>145.45355</v>
      </c>
      <c r="E344" s="403">
        <v>182.48511232</v>
      </c>
      <c r="F344" s="403">
        <v>155.1978</v>
      </c>
      <c r="G344" s="403">
        <v>145.6176</v>
      </c>
      <c r="H344" s="403">
        <v>145.6176</v>
      </c>
      <c r="I344" s="403">
        <v>145.6176</v>
      </c>
      <c r="J344" s="403">
        <v>145.6176</v>
      </c>
      <c r="K344" s="438">
        <v>737.6682000000001</v>
      </c>
    </row>
    <row r="345" spans="1:11" ht="18.75">
      <c r="A345" s="269" t="s">
        <v>1064</v>
      </c>
      <c r="B345" s="431" t="s">
        <v>1120</v>
      </c>
      <c r="C345" s="268" t="s">
        <v>341</v>
      </c>
      <c r="D345" s="403">
        <v>217.03291</v>
      </c>
      <c r="E345" s="403">
        <v>181.03104768</v>
      </c>
      <c r="F345" s="403">
        <v>202.8465</v>
      </c>
      <c r="G345" s="403">
        <v>221.4727</v>
      </c>
      <c r="H345" s="403">
        <v>221.4727</v>
      </c>
      <c r="I345" s="403">
        <v>221.4727</v>
      </c>
      <c r="J345" s="403">
        <v>221.4727</v>
      </c>
      <c r="K345" s="438">
        <v>1088.7373</v>
      </c>
    </row>
    <row r="346" spans="1:11" ht="18.75">
      <c r="A346" s="269" t="s">
        <v>1031</v>
      </c>
      <c r="B346" s="270" t="s">
        <v>44</v>
      </c>
      <c r="C346" s="268" t="s">
        <v>341</v>
      </c>
      <c r="D346" s="403">
        <v>39.44813</v>
      </c>
      <c r="E346" s="403">
        <v>36.1935</v>
      </c>
      <c r="F346" s="403">
        <v>71.5622</v>
      </c>
      <c r="G346" s="403">
        <v>37.631</v>
      </c>
      <c r="H346" s="403">
        <v>37.631</v>
      </c>
      <c r="I346" s="403">
        <v>37.631</v>
      </c>
      <c r="J346" s="403">
        <v>37.631</v>
      </c>
      <c r="K346" s="438">
        <v>222.08620000000002</v>
      </c>
    </row>
    <row r="347" spans="1:11" ht="18.75">
      <c r="A347" s="269" t="s">
        <v>1032</v>
      </c>
      <c r="B347" s="270" t="s">
        <v>90</v>
      </c>
      <c r="C347" s="268" t="s">
        <v>183</v>
      </c>
      <c r="D347" s="403">
        <v>43.234</v>
      </c>
      <c r="E347" s="403">
        <v>43.7436</v>
      </c>
      <c r="F347" s="403">
        <v>42.7071</v>
      </c>
      <c r="G347" s="403">
        <v>43.7436</v>
      </c>
      <c r="H347" s="403">
        <v>43.7863</v>
      </c>
      <c r="I347" s="403">
        <v>43.7863</v>
      </c>
      <c r="J347" s="403">
        <v>43.7863</v>
      </c>
      <c r="K347" s="438">
        <v>217.8096</v>
      </c>
    </row>
    <row r="348" spans="1:11" ht="31.5">
      <c r="A348" s="269" t="s">
        <v>1033</v>
      </c>
      <c r="B348" s="342" t="s">
        <v>91</v>
      </c>
      <c r="C348" s="268" t="s">
        <v>183</v>
      </c>
      <c r="D348" s="403"/>
      <c r="E348" s="437"/>
      <c r="F348" s="437"/>
      <c r="G348" s="403"/>
      <c r="H348" s="438"/>
      <c r="I348" s="438"/>
      <c r="J348" s="438"/>
      <c r="K348" s="438"/>
    </row>
    <row r="349" spans="1:11" ht="18.75">
      <c r="A349" s="269" t="s">
        <v>1066</v>
      </c>
      <c r="B349" s="431" t="s">
        <v>1119</v>
      </c>
      <c r="C349" s="268" t="s">
        <v>183</v>
      </c>
      <c r="D349" s="403"/>
      <c r="E349" s="437"/>
      <c r="F349" s="437"/>
      <c r="G349" s="403"/>
      <c r="H349" s="403"/>
      <c r="I349" s="403"/>
      <c r="J349" s="403"/>
      <c r="K349" s="438"/>
    </row>
    <row r="350" spans="1:11" ht="18.75">
      <c r="A350" s="269" t="s">
        <v>1067</v>
      </c>
      <c r="B350" s="431" t="s">
        <v>1120</v>
      </c>
      <c r="C350" s="268" t="s">
        <v>183</v>
      </c>
      <c r="D350" s="403"/>
      <c r="E350" s="437"/>
      <c r="F350" s="437"/>
      <c r="G350" s="403"/>
      <c r="H350" s="403"/>
      <c r="I350" s="403"/>
      <c r="J350" s="403"/>
      <c r="K350" s="438"/>
    </row>
    <row r="351" spans="1:11" ht="18.75">
      <c r="A351" s="269" t="s">
        <v>1034</v>
      </c>
      <c r="B351" s="270" t="s">
        <v>1122</v>
      </c>
      <c r="C351" s="268" t="s">
        <v>1121</v>
      </c>
      <c r="D351" s="403">
        <v>7951</v>
      </c>
      <c r="E351" s="437">
        <v>8799.88</v>
      </c>
      <c r="F351" s="437">
        <v>8799.88</v>
      </c>
      <c r="G351" s="403">
        <v>9211.74</v>
      </c>
      <c r="H351" s="403">
        <v>9211.74</v>
      </c>
      <c r="I351" s="403">
        <v>9211.74</v>
      </c>
      <c r="J351" s="403">
        <v>9211.74</v>
      </c>
      <c r="K351" s="438"/>
    </row>
    <row r="352" spans="1:11" s="323" customFormat="1" ht="31.5">
      <c r="A352" s="269" t="s">
        <v>1035</v>
      </c>
      <c r="B352" s="270" t="s">
        <v>51</v>
      </c>
      <c r="C352" s="268" t="s">
        <v>904</v>
      </c>
      <c r="D352" s="403">
        <f>D31-D59</f>
        <v>107.26900000000002</v>
      </c>
      <c r="E352" s="403">
        <f>E31-E59</f>
        <v>139.51339000000002</v>
      </c>
      <c r="F352" s="403">
        <v>41.39276419999999</v>
      </c>
      <c r="G352" s="403">
        <v>149.60807999999997</v>
      </c>
      <c r="H352" s="403">
        <v>152.92806718</v>
      </c>
      <c r="I352" s="403">
        <v>153.524174913788</v>
      </c>
      <c r="J352" s="403">
        <v>154.12266707851114</v>
      </c>
      <c r="K352" s="438">
        <v>651.575753372299</v>
      </c>
    </row>
    <row r="353" spans="1:11" ht="18.75">
      <c r="A353" s="274" t="s">
        <v>738</v>
      </c>
      <c r="B353" s="275" t="s">
        <v>736</v>
      </c>
      <c r="C353" s="276" t="s">
        <v>436</v>
      </c>
      <c r="D353" s="434"/>
      <c r="E353" s="435" t="s">
        <v>743</v>
      </c>
      <c r="F353" s="435"/>
      <c r="G353" s="436" t="s">
        <v>743</v>
      </c>
      <c r="H353" s="436" t="s">
        <v>743</v>
      </c>
      <c r="I353" s="436"/>
      <c r="J353" s="436"/>
      <c r="K353" s="436" t="s">
        <v>743</v>
      </c>
    </row>
    <row r="354" spans="1:11" ht="18.75">
      <c r="A354" s="269" t="s">
        <v>740</v>
      </c>
      <c r="B354" s="270" t="s">
        <v>783</v>
      </c>
      <c r="C354" s="268" t="s">
        <v>341</v>
      </c>
      <c r="D354" s="318"/>
      <c r="E354" s="360"/>
      <c r="F354" s="360"/>
      <c r="G354" s="372"/>
      <c r="H354" s="373"/>
      <c r="I354" s="373"/>
      <c r="J354" s="373"/>
      <c r="K354" s="373"/>
    </row>
    <row r="355" spans="1:11" ht="18.75">
      <c r="A355" s="269" t="s">
        <v>741</v>
      </c>
      <c r="B355" s="270" t="s">
        <v>784</v>
      </c>
      <c r="C355" s="268" t="s">
        <v>766</v>
      </c>
      <c r="D355" s="318"/>
      <c r="E355" s="360"/>
      <c r="F355" s="360"/>
      <c r="G355" s="372"/>
      <c r="H355" s="373"/>
      <c r="I355" s="373"/>
      <c r="J355" s="373"/>
      <c r="K355" s="373"/>
    </row>
    <row r="356" spans="1:11" ht="47.25">
      <c r="A356" s="269" t="s">
        <v>790</v>
      </c>
      <c r="B356" s="270" t="s">
        <v>0</v>
      </c>
      <c r="C356" s="268" t="s">
        <v>904</v>
      </c>
      <c r="D356" s="318"/>
      <c r="E356" s="360"/>
      <c r="F356" s="360"/>
      <c r="G356" s="372"/>
      <c r="H356" s="373"/>
      <c r="I356" s="373"/>
      <c r="J356" s="373"/>
      <c r="K356" s="373"/>
    </row>
    <row r="357" spans="1:11" ht="31.5">
      <c r="A357" s="269" t="s">
        <v>874</v>
      </c>
      <c r="B357" s="270" t="s">
        <v>45</v>
      </c>
      <c r="C357" s="268" t="s">
        <v>904</v>
      </c>
      <c r="D357" s="318"/>
      <c r="E357" s="360"/>
      <c r="F357" s="360"/>
      <c r="G357" s="372"/>
      <c r="H357" s="373"/>
      <c r="I357" s="373"/>
      <c r="J357" s="373"/>
      <c r="K357" s="373"/>
    </row>
    <row r="358" spans="1:11" ht="18.75">
      <c r="A358" s="269" t="s">
        <v>742</v>
      </c>
      <c r="B358" s="284" t="s">
        <v>739</v>
      </c>
      <c r="C358" s="433" t="s">
        <v>436</v>
      </c>
      <c r="D358" s="416"/>
      <c r="E358" s="432" t="s">
        <v>743</v>
      </c>
      <c r="F358" s="432"/>
      <c r="G358" s="433" t="s">
        <v>743</v>
      </c>
      <c r="H358" s="433" t="s">
        <v>743</v>
      </c>
      <c r="I358" s="433"/>
      <c r="J358" s="433"/>
      <c r="K358" s="433" t="s">
        <v>743</v>
      </c>
    </row>
    <row r="359" spans="1:11" ht="18.75">
      <c r="A359" s="269" t="s">
        <v>875</v>
      </c>
      <c r="B359" s="270" t="s">
        <v>893</v>
      </c>
      <c r="C359" s="268" t="s">
        <v>183</v>
      </c>
      <c r="D359" s="318"/>
      <c r="E359" s="360"/>
      <c r="F359" s="360"/>
      <c r="G359" s="372"/>
      <c r="H359" s="373"/>
      <c r="I359" s="373"/>
      <c r="J359" s="373"/>
      <c r="K359" s="373"/>
    </row>
    <row r="360" spans="1:11" ht="47.25">
      <c r="A360" s="269" t="s">
        <v>876</v>
      </c>
      <c r="B360" s="342" t="s">
        <v>1036</v>
      </c>
      <c r="C360" s="268" t="s">
        <v>183</v>
      </c>
      <c r="D360" s="318"/>
      <c r="E360" s="360"/>
      <c r="F360" s="360"/>
      <c r="G360" s="372"/>
      <c r="H360" s="373"/>
      <c r="I360" s="373"/>
      <c r="J360" s="373"/>
      <c r="K360" s="373"/>
    </row>
    <row r="361" spans="1:11" ht="47.25">
      <c r="A361" s="269" t="s">
        <v>877</v>
      </c>
      <c r="B361" s="342" t="s">
        <v>1037</v>
      </c>
      <c r="C361" s="268" t="s">
        <v>183</v>
      </c>
      <c r="D361" s="318"/>
      <c r="E361" s="360"/>
      <c r="F361" s="360"/>
      <c r="G361" s="372"/>
      <c r="H361" s="373"/>
      <c r="I361" s="373"/>
      <c r="J361" s="373"/>
      <c r="K361" s="373"/>
    </row>
    <row r="362" spans="1:11" ht="31.5">
      <c r="A362" s="269" t="s">
        <v>878</v>
      </c>
      <c r="B362" s="342" t="s">
        <v>787</v>
      </c>
      <c r="C362" s="268" t="s">
        <v>183</v>
      </c>
      <c r="D362" s="318"/>
      <c r="E362" s="360"/>
      <c r="F362" s="360"/>
      <c r="G362" s="372"/>
      <c r="H362" s="373"/>
      <c r="I362" s="373"/>
      <c r="J362" s="373"/>
      <c r="K362" s="373"/>
    </row>
    <row r="363" spans="1:11" ht="18.75">
      <c r="A363" s="269" t="s">
        <v>879</v>
      </c>
      <c r="B363" s="270" t="s">
        <v>892</v>
      </c>
      <c r="C363" s="268" t="s">
        <v>341</v>
      </c>
      <c r="D363" s="318"/>
      <c r="E363" s="360"/>
      <c r="F363" s="360"/>
      <c r="G363" s="372"/>
      <c r="H363" s="373"/>
      <c r="I363" s="373"/>
      <c r="J363" s="373"/>
      <c r="K363" s="373"/>
    </row>
    <row r="364" spans="1:11" ht="31.5">
      <c r="A364" s="269" t="s">
        <v>880</v>
      </c>
      <c r="B364" s="342" t="s">
        <v>788</v>
      </c>
      <c r="C364" s="268" t="s">
        <v>341</v>
      </c>
      <c r="D364" s="318"/>
      <c r="E364" s="360"/>
      <c r="F364" s="360"/>
      <c r="G364" s="372"/>
      <c r="H364" s="373"/>
      <c r="I364" s="373"/>
      <c r="J364" s="373"/>
      <c r="K364" s="373"/>
    </row>
    <row r="365" spans="1:11" ht="18.75">
      <c r="A365" s="269" t="s">
        <v>881</v>
      </c>
      <c r="B365" s="342" t="s">
        <v>789</v>
      </c>
      <c r="C365" s="268" t="s">
        <v>341</v>
      </c>
      <c r="D365" s="318"/>
      <c r="E365" s="360"/>
      <c r="F365" s="360"/>
      <c r="G365" s="372"/>
      <c r="H365" s="373"/>
      <c r="I365" s="373"/>
      <c r="J365" s="373"/>
      <c r="K365" s="373"/>
    </row>
    <row r="366" spans="1:11" ht="31.5">
      <c r="A366" s="269" t="s">
        <v>882</v>
      </c>
      <c r="B366" s="270" t="s">
        <v>891</v>
      </c>
      <c r="C366" s="268" t="s">
        <v>904</v>
      </c>
      <c r="D366" s="318"/>
      <c r="E366" s="360"/>
      <c r="F366" s="360"/>
      <c r="G366" s="372"/>
      <c r="H366" s="373"/>
      <c r="I366" s="373"/>
      <c r="J366" s="373"/>
      <c r="K366" s="373"/>
    </row>
    <row r="367" spans="1:11" ht="18.75">
      <c r="A367" s="269" t="s">
        <v>883</v>
      </c>
      <c r="B367" s="342" t="s">
        <v>785</v>
      </c>
      <c r="C367" s="268" t="s">
        <v>904</v>
      </c>
      <c r="D367" s="318"/>
      <c r="E367" s="360"/>
      <c r="F367" s="360"/>
      <c r="G367" s="372"/>
      <c r="H367" s="373"/>
      <c r="I367" s="373"/>
      <c r="J367" s="373"/>
      <c r="K367" s="373"/>
    </row>
    <row r="368" spans="1:11" ht="18.75">
      <c r="A368" s="269" t="s">
        <v>884</v>
      </c>
      <c r="B368" s="342" t="s">
        <v>786</v>
      </c>
      <c r="C368" s="268" t="s">
        <v>904</v>
      </c>
      <c r="D368" s="318"/>
      <c r="E368" s="360"/>
      <c r="F368" s="360"/>
      <c r="G368" s="372"/>
      <c r="H368" s="373"/>
      <c r="I368" s="373"/>
      <c r="J368" s="373"/>
      <c r="K368" s="373"/>
    </row>
    <row r="369" spans="1:11" ht="18.75">
      <c r="A369" s="269" t="s">
        <v>885</v>
      </c>
      <c r="B369" s="284" t="s">
        <v>1038</v>
      </c>
      <c r="C369" s="268" t="s">
        <v>185</v>
      </c>
      <c r="D369" s="439">
        <v>9</v>
      </c>
      <c r="E369" s="440">
        <v>14.5</v>
      </c>
      <c r="F369" s="440">
        <v>12</v>
      </c>
      <c r="G369" s="292">
        <v>17</v>
      </c>
      <c r="H369" s="292">
        <v>18</v>
      </c>
      <c r="I369" s="292">
        <v>18</v>
      </c>
      <c r="J369" s="292">
        <v>18</v>
      </c>
      <c r="K369" s="278">
        <v>16.25</v>
      </c>
    </row>
    <row r="370" spans="1:11" ht="15.75">
      <c r="A370" s="469" t="s">
        <v>137</v>
      </c>
      <c r="B370" s="469"/>
      <c r="C370" s="469"/>
      <c r="D370" s="469"/>
      <c r="E370" s="469"/>
      <c r="F370" s="469"/>
      <c r="G370" s="469"/>
      <c r="H370" s="469"/>
      <c r="I370" s="469"/>
      <c r="J370" s="469"/>
      <c r="K370" s="469"/>
    </row>
    <row r="371" spans="1:11" ht="15.75">
      <c r="A371" s="469"/>
      <c r="B371" s="469"/>
      <c r="C371" s="469"/>
      <c r="D371" s="469"/>
      <c r="E371" s="469"/>
      <c r="F371" s="469"/>
      <c r="G371" s="469"/>
      <c r="H371" s="469"/>
      <c r="I371" s="469"/>
      <c r="J371" s="469"/>
      <c r="K371" s="469"/>
    </row>
    <row r="372" spans="1:11" ht="63">
      <c r="A372" s="470" t="s">
        <v>147</v>
      </c>
      <c r="B372" s="471" t="s">
        <v>148</v>
      </c>
      <c r="C372" s="471" t="s">
        <v>759</v>
      </c>
      <c r="D372" s="303" t="s">
        <v>1133</v>
      </c>
      <c r="E372" s="337" t="s">
        <v>1130</v>
      </c>
      <c r="F372" s="337" t="s">
        <v>1130</v>
      </c>
      <c r="G372" s="337" t="s">
        <v>1131</v>
      </c>
      <c r="H372" s="337" t="s">
        <v>1132</v>
      </c>
      <c r="I372" s="337">
        <v>2022</v>
      </c>
      <c r="J372" s="337">
        <v>2023</v>
      </c>
      <c r="K372" s="337" t="s">
        <v>669</v>
      </c>
    </row>
    <row r="373" spans="1:11" ht="38.25">
      <c r="A373" s="470"/>
      <c r="B373" s="471"/>
      <c r="C373" s="471"/>
      <c r="D373" s="303"/>
      <c r="E373" s="285" t="s">
        <v>758</v>
      </c>
      <c r="F373" s="285" t="s">
        <v>1134</v>
      </c>
      <c r="G373" s="285" t="s">
        <v>1125</v>
      </c>
      <c r="H373" s="285" t="s">
        <v>1125</v>
      </c>
      <c r="I373" s="285" t="s">
        <v>1125</v>
      </c>
      <c r="J373" s="285" t="s">
        <v>1125</v>
      </c>
      <c r="K373" s="285" t="s">
        <v>758</v>
      </c>
    </row>
    <row r="374" spans="1:11" ht="18.75">
      <c r="A374" s="286">
        <v>1</v>
      </c>
      <c r="B374" s="287">
        <v>2</v>
      </c>
      <c r="C374" s="287">
        <v>3</v>
      </c>
      <c r="D374" s="304"/>
      <c r="E374" s="297">
        <v>7</v>
      </c>
      <c r="F374" s="297">
        <v>8</v>
      </c>
      <c r="G374" s="288">
        <v>9</v>
      </c>
      <c r="H374" s="288">
        <v>11</v>
      </c>
      <c r="I374" s="288">
        <v>12</v>
      </c>
      <c r="J374" s="288">
        <v>13</v>
      </c>
      <c r="K374" s="288">
        <v>14</v>
      </c>
    </row>
    <row r="375" spans="1:11" ht="18.75">
      <c r="A375" s="472" t="s">
        <v>145</v>
      </c>
      <c r="B375" s="472"/>
      <c r="C375" s="268" t="s">
        <v>904</v>
      </c>
      <c r="D375" s="305"/>
      <c r="E375" s="338"/>
      <c r="F375" s="338">
        <v>9.632</v>
      </c>
      <c r="G375" s="338">
        <v>9.142</v>
      </c>
      <c r="H375" s="473">
        <v>20.194958</v>
      </c>
      <c r="I375" s="339"/>
      <c r="J375" s="339"/>
      <c r="K375" s="339">
        <v>38.968958</v>
      </c>
    </row>
    <row r="376" spans="1:11" ht="18.75">
      <c r="A376" s="269" t="s">
        <v>163</v>
      </c>
      <c r="B376" s="340" t="s">
        <v>92</v>
      </c>
      <c r="C376" s="268" t="s">
        <v>904</v>
      </c>
      <c r="D376" s="305"/>
      <c r="E376" s="341">
        <f>E377</f>
        <v>9.632399999999999</v>
      </c>
      <c r="F376" s="338">
        <v>9.632</v>
      </c>
      <c r="G376" s="338">
        <v>9.142</v>
      </c>
      <c r="H376" s="473">
        <v>20.194958</v>
      </c>
      <c r="I376" s="339"/>
      <c r="J376" s="339"/>
      <c r="K376" s="339">
        <v>38.968958</v>
      </c>
    </row>
    <row r="377" spans="1:11" ht="18.75">
      <c r="A377" s="269" t="s">
        <v>164</v>
      </c>
      <c r="B377" s="270" t="s">
        <v>348</v>
      </c>
      <c r="C377" s="268" t="s">
        <v>904</v>
      </c>
      <c r="D377" s="305"/>
      <c r="E377" s="341">
        <f>E378+E429</f>
        <v>9.632399999999999</v>
      </c>
      <c r="F377" s="338">
        <v>8.026666666666667</v>
      </c>
      <c r="G377" s="338">
        <v>6.863333333333333</v>
      </c>
      <c r="H377" s="474">
        <v>15.244617933666671</v>
      </c>
      <c r="I377" s="339"/>
      <c r="J377" s="339"/>
      <c r="K377" s="339">
        <v>30.13461793366667</v>
      </c>
    </row>
    <row r="378" spans="1:12" ht="31.5">
      <c r="A378" s="269" t="s">
        <v>349</v>
      </c>
      <c r="B378" s="342" t="s">
        <v>2</v>
      </c>
      <c r="C378" s="268" t="s">
        <v>904</v>
      </c>
      <c r="D378" s="305"/>
      <c r="E378" s="341">
        <f>E384+E389</f>
        <v>8.027</v>
      </c>
      <c r="F378" s="343">
        <v>8.026666666666667</v>
      </c>
      <c r="G378" s="343">
        <v>6.863333333333333</v>
      </c>
      <c r="H378" s="474">
        <v>15.244617933666671</v>
      </c>
      <c r="I378" s="339"/>
      <c r="J378" s="339"/>
      <c r="K378" s="339">
        <v>30.13461793366667</v>
      </c>
      <c r="L378" s="336"/>
    </row>
    <row r="379" spans="1:12" ht="18.75">
      <c r="A379" s="269" t="s">
        <v>744</v>
      </c>
      <c r="B379" s="344" t="s">
        <v>1040</v>
      </c>
      <c r="C379" s="268" t="s">
        <v>904</v>
      </c>
      <c r="D379" s="305"/>
      <c r="E379" s="341"/>
      <c r="F379" s="338"/>
      <c r="G379" s="343"/>
      <c r="H379" s="473"/>
      <c r="I379" s="339"/>
      <c r="J379" s="339"/>
      <c r="K379" s="339"/>
      <c r="L379" s="336"/>
    </row>
    <row r="380" spans="1:11" ht="31.5">
      <c r="A380" s="269" t="s">
        <v>1080</v>
      </c>
      <c r="B380" s="273" t="s">
        <v>1057</v>
      </c>
      <c r="C380" s="268" t="s">
        <v>904</v>
      </c>
      <c r="D380" s="305"/>
      <c r="E380" s="341"/>
      <c r="F380" s="338"/>
      <c r="G380" s="343"/>
      <c r="H380" s="473"/>
      <c r="I380" s="339"/>
      <c r="J380" s="339"/>
      <c r="K380" s="339"/>
    </row>
    <row r="381" spans="1:11" ht="31.5">
      <c r="A381" s="269" t="s">
        <v>1081</v>
      </c>
      <c r="B381" s="273" t="s">
        <v>1058</v>
      </c>
      <c r="C381" s="268" t="s">
        <v>904</v>
      </c>
      <c r="D381" s="305"/>
      <c r="E381" s="341"/>
      <c r="F381" s="338"/>
      <c r="G381" s="343"/>
      <c r="H381" s="473"/>
      <c r="I381" s="339"/>
      <c r="J381" s="339"/>
      <c r="K381" s="339"/>
    </row>
    <row r="382" spans="1:11" ht="31.5">
      <c r="A382" s="269" t="s">
        <v>3</v>
      </c>
      <c r="B382" s="273" t="s">
        <v>1043</v>
      </c>
      <c r="C382" s="268" t="s">
        <v>904</v>
      </c>
      <c r="D382" s="305"/>
      <c r="E382" s="341"/>
      <c r="F382" s="338"/>
      <c r="G382" s="343"/>
      <c r="H382" s="473"/>
      <c r="I382" s="339"/>
      <c r="J382" s="339"/>
      <c r="K382" s="339"/>
    </row>
    <row r="383" spans="1:11" ht="18.75">
      <c r="A383" s="269" t="s">
        <v>745</v>
      </c>
      <c r="B383" s="344" t="s">
        <v>111</v>
      </c>
      <c r="C383" s="268" t="s">
        <v>904</v>
      </c>
      <c r="D383" s="305"/>
      <c r="E383" s="341"/>
      <c r="F383" s="338"/>
      <c r="G383" s="343"/>
      <c r="H383" s="473"/>
      <c r="I383" s="339"/>
      <c r="J383" s="339"/>
      <c r="K383" s="339"/>
    </row>
    <row r="384" spans="1:11" ht="18.75">
      <c r="A384" s="269" t="s">
        <v>746</v>
      </c>
      <c r="B384" s="344" t="s">
        <v>1041</v>
      </c>
      <c r="C384" s="268" t="s">
        <v>904</v>
      </c>
      <c r="D384" s="305"/>
      <c r="E384" s="341">
        <f>8.017</f>
        <v>8.017</v>
      </c>
      <c r="F384" s="343">
        <v>8.026566666666668</v>
      </c>
      <c r="G384" s="343">
        <v>6.767333333333333</v>
      </c>
      <c r="H384" s="473">
        <v>15.17976928366667</v>
      </c>
      <c r="I384" s="339"/>
      <c r="J384" s="339"/>
      <c r="K384" s="339">
        <v>29.973669283666673</v>
      </c>
    </row>
    <row r="385" spans="1:11" ht="18.75">
      <c r="A385" s="269" t="s">
        <v>747</v>
      </c>
      <c r="B385" s="344" t="s">
        <v>103</v>
      </c>
      <c r="C385" s="268" t="s">
        <v>904</v>
      </c>
      <c r="D385" s="305"/>
      <c r="E385" s="341"/>
      <c r="F385" s="338"/>
      <c r="G385" s="343"/>
      <c r="H385" s="473"/>
      <c r="I385" s="339"/>
      <c r="J385" s="339"/>
      <c r="K385" s="339">
        <v>0</v>
      </c>
    </row>
    <row r="386" spans="1:12" ht="18.75">
      <c r="A386" s="269" t="s">
        <v>748</v>
      </c>
      <c r="B386" s="344" t="s">
        <v>354</v>
      </c>
      <c r="C386" s="268" t="s">
        <v>904</v>
      </c>
      <c r="D386" s="305"/>
      <c r="E386" s="341"/>
      <c r="F386" s="338">
        <v>0.011291666666666667</v>
      </c>
      <c r="G386" s="338">
        <v>0.096</v>
      </c>
      <c r="H386" s="473">
        <v>0.06484865</v>
      </c>
      <c r="I386" s="339"/>
      <c r="J386" s="339"/>
      <c r="K386" s="339">
        <f>SUM(F386:H386)</f>
        <v>0.17214031666666668</v>
      </c>
      <c r="L386" s="449"/>
    </row>
    <row r="387" spans="1:11" ht="31.5">
      <c r="A387" s="269" t="s">
        <v>4</v>
      </c>
      <c r="B387" s="273" t="s">
        <v>1</v>
      </c>
      <c r="C387" s="268" t="s">
        <v>904</v>
      </c>
      <c r="D387" s="305"/>
      <c r="E387" s="341"/>
      <c r="F387" s="338"/>
      <c r="G387" s="343"/>
      <c r="H387" s="473"/>
      <c r="I387" s="339"/>
      <c r="J387" s="339"/>
      <c r="K387" s="339">
        <v>0</v>
      </c>
    </row>
    <row r="388" spans="1:11" ht="18.75">
      <c r="A388" s="269" t="s">
        <v>5</v>
      </c>
      <c r="B388" s="273" t="s">
        <v>52</v>
      </c>
      <c r="C388" s="268" t="s">
        <v>904</v>
      </c>
      <c r="D388" s="305"/>
      <c r="E388" s="341"/>
      <c r="F388" s="338"/>
      <c r="G388" s="343"/>
      <c r="H388" s="473"/>
      <c r="I388" s="339"/>
      <c r="J388" s="339"/>
      <c r="K388" s="339">
        <v>0</v>
      </c>
    </row>
    <row r="389" spans="1:15" ht="18.75">
      <c r="A389" s="269" t="s">
        <v>6</v>
      </c>
      <c r="B389" s="273" t="s">
        <v>886</v>
      </c>
      <c r="C389" s="268" t="s">
        <v>904</v>
      </c>
      <c r="D389" s="305"/>
      <c r="E389" s="341">
        <v>0.01</v>
      </c>
      <c r="F389" s="338">
        <f>0.01355/1.2</f>
        <v>0.011291666666666667</v>
      </c>
      <c r="G389" s="343">
        <v>0.096</v>
      </c>
      <c r="H389" s="473">
        <v>0.06484865</v>
      </c>
      <c r="I389" s="339"/>
      <c r="J389" s="339"/>
      <c r="K389" s="339">
        <f>SUM(F389:H389)</f>
        <v>0.17214031666666668</v>
      </c>
      <c r="L389" s="324"/>
      <c r="M389" s="325"/>
      <c r="N389" s="325"/>
      <c r="O389" s="325"/>
    </row>
    <row r="390" spans="1:12" ht="18.75">
      <c r="A390" s="269" t="s">
        <v>7</v>
      </c>
      <c r="B390" s="273" t="s">
        <v>52</v>
      </c>
      <c r="C390" s="268" t="s">
        <v>904</v>
      </c>
      <c r="D390" s="305"/>
      <c r="E390" s="341"/>
      <c r="F390" s="338"/>
      <c r="G390" s="343"/>
      <c r="H390" s="339"/>
      <c r="I390" s="339"/>
      <c r="J390" s="339"/>
      <c r="K390" s="339"/>
      <c r="L390" s="328"/>
    </row>
    <row r="391" spans="1:11" ht="18.75">
      <c r="A391" s="269" t="s">
        <v>749</v>
      </c>
      <c r="B391" s="344" t="s">
        <v>1042</v>
      </c>
      <c r="C391" s="268" t="s">
        <v>904</v>
      </c>
      <c r="D391" s="305"/>
      <c r="E391" s="341"/>
      <c r="F391" s="338"/>
      <c r="G391" s="343"/>
      <c r="H391" s="339"/>
      <c r="I391" s="339"/>
      <c r="J391" s="339"/>
      <c r="K391" s="339"/>
    </row>
    <row r="392" spans="1:11" ht="18.75">
      <c r="A392" s="269" t="s">
        <v>771</v>
      </c>
      <c r="B392" s="344" t="s">
        <v>108</v>
      </c>
      <c r="C392" s="268" t="s">
        <v>904</v>
      </c>
      <c r="D392" s="305"/>
      <c r="E392" s="341"/>
      <c r="F392" s="338"/>
      <c r="G392" s="343"/>
      <c r="H392" s="339"/>
      <c r="I392" s="339"/>
      <c r="J392" s="339"/>
      <c r="K392" s="339"/>
    </row>
    <row r="393" spans="1:11" ht="31.5">
      <c r="A393" s="269" t="s">
        <v>1069</v>
      </c>
      <c r="B393" s="344" t="s">
        <v>93</v>
      </c>
      <c r="C393" s="268" t="s">
        <v>904</v>
      </c>
      <c r="D393" s="305"/>
      <c r="E393" s="341"/>
      <c r="F393" s="338"/>
      <c r="G393" s="343"/>
      <c r="H393" s="339"/>
      <c r="I393" s="339"/>
      <c r="J393" s="339"/>
      <c r="K393" s="339"/>
    </row>
    <row r="394" spans="1:11" ht="18.75">
      <c r="A394" s="269" t="s">
        <v>8</v>
      </c>
      <c r="B394" s="273" t="s">
        <v>798</v>
      </c>
      <c r="C394" s="268" t="s">
        <v>904</v>
      </c>
      <c r="D394" s="305"/>
      <c r="E394" s="341"/>
      <c r="F394" s="338"/>
      <c r="G394" s="343"/>
      <c r="H394" s="339"/>
      <c r="I394" s="339"/>
      <c r="J394" s="339"/>
      <c r="K394" s="339"/>
    </row>
    <row r="395" spans="1:11" ht="18.75">
      <c r="A395" s="269" t="s">
        <v>9</v>
      </c>
      <c r="B395" s="345" t="s">
        <v>786</v>
      </c>
      <c r="C395" s="268" t="s">
        <v>904</v>
      </c>
      <c r="D395" s="305"/>
      <c r="E395" s="341"/>
      <c r="F395" s="338"/>
      <c r="G395" s="343"/>
      <c r="H395" s="339"/>
      <c r="I395" s="339"/>
      <c r="J395" s="339"/>
      <c r="K395" s="339"/>
    </row>
    <row r="396" spans="1:11" ht="31.5">
      <c r="A396" s="269" t="s">
        <v>351</v>
      </c>
      <c r="B396" s="342" t="s">
        <v>48</v>
      </c>
      <c r="C396" s="268" t="s">
        <v>904</v>
      </c>
      <c r="D396" s="305"/>
      <c r="E396" s="341"/>
      <c r="F396" s="338"/>
      <c r="G396" s="343"/>
      <c r="H396" s="339"/>
      <c r="I396" s="339"/>
      <c r="J396" s="339"/>
      <c r="K396" s="339"/>
    </row>
    <row r="397" spans="1:11" ht="31.5">
      <c r="A397" s="269" t="s">
        <v>10</v>
      </c>
      <c r="B397" s="344" t="s">
        <v>1057</v>
      </c>
      <c r="C397" s="268" t="s">
        <v>904</v>
      </c>
      <c r="D397" s="305"/>
      <c r="E397" s="341"/>
      <c r="F397" s="338"/>
      <c r="G397" s="343"/>
      <c r="H397" s="339"/>
      <c r="I397" s="339"/>
      <c r="J397" s="339"/>
      <c r="K397" s="339"/>
    </row>
    <row r="398" spans="1:11" ht="31.5">
      <c r="A398" s="269" t="s">
        <v>11</v>
      </c>
      <c r="B398" s="344" t="s">
        <v>1058</v>
      </c>
      <c r="C398" s="268" t="s">
        <v>904</v>
      </c>
      <c r="D398" s="305"/>
      <c r="E398" s="341"/>
      <c r="F398" s="338"/>
      <c r="G398" s="343"/>
      <c r="H398" s="339"/>
      <c r="I398" s="339"/>
      <c r="J398" s="339"/>
      <c r="K398" s="339"/>
    </row>
    <row r="399" spans="1:11" ht="31.5">
      <c r="A399" s="269" t="s">
        <v>12</v>
      </c>
      <c r="B399" s="344" t="s">
        <v>1043</v>
      </c>
      <c r="C399" s="268" t="s">
        <v>904</v>
      </c>
      <c r="D399" s="305"/>
      <c r="E399" s="341"/>
      <c r="F399" s="338"/>
      <c r="G399" s="343"/>
      <c r="H399" s="339"/>
      <c r="I399" s="339"/>
      <c r="J399" s="339"/>
      <c r="K399" s="339"/>
    </row>
    <row r="400" spans="1:11" ht="18.75">
      <c r="A400" s="269" t="s">
        <v>353</v>
      </c>
      <c r="B400" s="342" t="s">
        <v>648</v>
      </c>
      <c r="C400" s="268" t="s">
        <v>904</v>
      </c>
      <c r="D400" s="305"/>
      <c r="E400" s="341"/>
      <c r="F400" s="338"/>
      <c r="G400" s="343"/>
      <c r="H400" s="339"/>
      <c r="I400" s="339"/>
      <c r="J400" s="339"/>
      <c r="K400" s="339"/>
    </row>
    <row r="401" spans="1:11" ht="18.75">
      <c r="A401" s="269" t="s">
        <v>165</v>
      </c>
      <c r="B401" s="270" t="s">
        <v>94</v>
      </c>
      <c r="C401" s="268" t="s">
        <v>904</v>
      </c>
      <c r="D401" s="305"/>
      <c r="E401" s="346"/>
      <c r="F401" s="347"/>
      <c r="G401" s="343">
        <v>0.756</v>
      </c>
      <c r="H401" s="474">
        <v>1.584513733</v>
      </c>
      <c r="I401" s="339"/>
      <c r="J401" s="339"/>
      <c r="K401" s="339">
        <v>2.340513733</v>
      </c>
    </row>
    <row r="402" spans="1:11" ht="18.75">
      <c r="A402" s="269" t="s">
        <v>363</v>
      </c>
      <c r="B402" s="342" t="s">
        <v>95</v>
      </c>
      <c r="C402" s="268" t="s">
        <v>904</v>
      </c>
      <c r="D402" s="305"/>
      <c r="E402" s="346"/>
      <c r="F402" s="347"/>
      <c r="G402" s="343"/>
      <c r="H402" s="450"/>
      <c r="I402" s="339"/>
      <c r="J402" s="339"/>
      <c r="K402" s="339"/>
    </row>
    <row r="403" spans="1:11" ht="18.75">
      <c r="A403" s="269" t="s">
        <v>750</v>
      </c>
      <c r="B403" s="344" t="s">
        <v>900</v>
      </c>
      <c r="C403" s="268" t="s">
        <v>904</v>
      </c>
      <c r="D403" s="305"/>
      <c r="E403" s="346"/>
      <c r="F403" s="347"/>
      <c r="G403" s="343"/>
      <c r="H403" s="450"/>
      <c r="I403" s="339"/>
      <c r="J403" s="339"/>
      <c r="K403" s="339"/>
    </row>
    <row r="404" spans="1:11" ht="31.5">
      <c r="A404" s="269" t="s">
        <v>1082</v>
      </c>
      <c r="B404" s="344" t="s">
        <v>1057</v>
      </c>
      <c r="C404" s="268" t="s">
        <v>904</v>
      </c>
      <c r="D404" s="305"/>
      <c r="E404" s="346"/>
      <c r="F404" s="347"/>
      <c r="G404" s="343"/>
      <c r="H404" s="450"/>
      <c r="I404" s="339"/>
      <c r="J404" s="339"/>
      <c r="K404" s="339"/>
    </row>
    <row r="405" spans="1:11" ht="31.5">
      <c r="A405" s="269" t="s">
        <v>1083</v>
      </c>
      <c r="B405" s="344" t="s">
        <v>1058</v>
      </c>
      <c r="C405" s="268" t="s">
        <v>904</v>
      </c>
      <c r="D405" s="305"/>
      <c r="E405" s="346"/>
      <c r="F405" s="347"/>
      <c r="G405" s="343"/>
      <c r="H405" s="450"/>
      <c r="I405" s="339"/>
      <c r="J405" s="339"/>
      <c r="K405" s="339"/>
    </row>
    <row r="406" spans="1:11" ht="31.5">
      <c r="A406" s="269" t="s">
        <v>13</v>
      </c>
      <c r="B406" s="344" t="s">
        <v>1043</v>
      </c>
      <c r="C406" s="268" t="s">
        <v>904</v>
      </c>
      <c r="D406" s="305"/>
      <c r="E406" s="346"/>
      <c r="F406" s="347"/>
      <c r="G406" s="343"/>
      <c r="H406" s="450"/>
      <c r="I406" s="339"/>
      <c r="J406" s="339"/>
      <c r="K406" s="339"/>
    </row>
    <row r="407" spans="1:11" ht="18.75">
      <c r="A407" s="269" t="s">
        <v>751</v>
      </c>
      <c r="B407" s="344" t="s">
        <v>107</v>
      </c>
      <c r="C407" s="268" t="s">
        <v>904</v>
      </c>
      <c r="D407" s="305"/>
      <c r="E407" s="346"/>
      <c r="F407" s="347"/>
      <c r="G407" s="343"/>
      <c r="H407" s="450"/>
      <c r="I407" s="339"/>
      <c r="J407" s="339"/>
      <c r="K407" s="339"/>
    </row>
    <row r="408" spans="1:11" ht="18.75">
      <c r="A408" s="269" t="s">
        <v>752</v>
      </c>
      <c r="B408" s="344" t="s">
        <v>901</v>
      </c>
      <c r="C408" s="268" t="s">
        <v>904</v>
      </c>
      <c r="D408" s="305"/>
      <c r="E408" s="346"/>
      <c r="F408" s="347"/>
      <c r="G408" s="343">
        <v>0.756</v>
      </c>
      <c r="H408" s="474">
        <v>1.584513733</v>
      </c>
      <c r="I408" s="339"/>
      <c r="J408" s="339"/>
      <c r="K408" s="339">
        <v>2.340513733</v>
      </c>
    </row>
    <row r="409" spans="1:11" ht="18.75">
      <c r="A409" s="269" t="s">
        <v>753</v>
      </c>
      <c r="B409" s="344" t="s">
        <v>101</v>
      </c>
      <c r="C409" s="268" t="s">
        <v>904</v>
      </c>
      <c r="D409" s="305"/>
      <c r="E409" s="341"/>
      <c r="F409" s="338"/>
      <c r="G409" s="343"/>
      <c r="H409" s="339"/>
      <c r="I409" s="339"/>
      <c r="J409" s="339"/>
      <c r="K409" s="339"/>
    </row>
    <row r="410" spans="1:11" ht="18.75">
      <c r="A410" s="269" t="s">
        <v>754</v>
      </c>
      <c r="B410" s="344" t="s">
        <v>903</v>
      </c>
      <c r="C410" s="268" t="s">
        <v>904</v>
      </c>
      <c r="D410" s="305"/>
      <c r="E410" s="341"/>
      <c r="F410" s="338"/>
      <c r="G410" s="343"/>
      <c r="H410" s="339"/>
      <c r="I410" s="339"/>
      <c r="J410" s="339"/>
      <c r="K410" s="339"/>
    </row>
    <row r="411" spans="1:11" ht="18.75">
      <c r="A411" s="269" t="s">
        <v>755</v>
      </c>
      <c r="B411" s="344" t="s">
        <v>108</v>
      </c>
      <c r="C411" s="268" t="s">
        <v>904</v>
      </c>
      <c r="D411" s="305"/>
      <c r="E411" s="341"/>
      <c r="F411" s="338"/>
      <c r="G411" s="343"/>
      <c r="H411" s="339"/>
      <c r="I411" s="339"/>
      <c r="J411" s="339"/>
      <c r="K411" s="339"/>
    </row>
    <row r="412" spans="1:11" ht="31.5">
      <c r="A412" s="269" t="s">
        <v>772</v>
      </c>
      <c r="B412" s="344" t="s">
        <v>83</v>
      </c>
      <c r="C412" s="268" t="s">
        <v>904</v>
      </c>
      <c r="D412" s="305"/>
      <c r="E412" s="341"/>
      <c r="F412" s="338"/>
      <c r="G412" s="343"/>
      <c r="H412" s="339"/>
      <c r="I412" s="339"/>
      <c r="J412" s="339"/>
      <c r="K412" s="339"/>
    </row>
    <row r="413" spans="1:11" ht="18.75">
      <c r="A413" s="269" t="s">
        <v>14</v>
      </c>
      <c r="B413" s="273" t="s">
        <v>798</v>
      </c>
      <c r="C413" s="268" t="s">
        <v>904</v>
      </c>
      <c r="D413" s="305"/>
      <c r="E413" s="341"/>
      <c r="F413" s="338"/>
      <c r="G413" s="343"/>
      <c r="H413" s="339"/>
      <c r="I413" s="339"/>
      <c r="J413" s="339"/>
      <c r="K413" s="339"/>
    </row>
    <row r="414" spans="1:11" ht="18.75">
      <c r="A414" s="269" t="s">
        <v>15</v>
      </c>
      <c r="B414" s="345" t="s">
        <v>786</v>
      </c>
      <c r="C414" s="268" t="s">
        <v>904</v>
      </c>
      <c r="D414" s="305"/>
      <c r="E414" s="341"/>
      <c r="F414" s="338"/>
      <c r="G414" s="343"/>
      <c r="H414" s="339"/>
      <c r="I414" s="339"/>
      <c r="J414" s="339"/>
      <c r="K414" s="339"/>
    </row>
    <row r="415" spans="1:11" ht="18.75">
      <c r="A415" s="269" t="s">
        <v>364</v>
      </c>
      <c r="B415" s="342" t="s">
        <v>49</v>
      </c>
      <c r="C415" s="268" t="s">
        <v>904</v>
      </c>
      <c r="D415" s="305"/>
      <c r="E415" s="341"/>
      <c r="F415" s="338"/>
      <c r="G415" s="343"/>
      <c r="H415" s="339"/>
      <c r="I415" s="339"/>
      <c r="J415" s="339"/>
      <c r="K415" s="339"/>
    </row>
    <row r="416" spans="1:11" ht="18.75">
      <c r="A416" s="269" t="s">
        <v>366</v>
      </c>
      <c r="B416" s="342" t="s">
        <v>945</v>
      </c>
      <c r="C416" s="268" t="s">
        <v>904</v>
      </c>
      <c r="D416" s="305"/>
      <c r="E416" s="341"/>
      <c r="F416" s="338"/>
      <c r="G416" s="343"/>
      <c r="H416" s="339"/>
      <c r="I416" s="339"/>
      <c r="J416" s="339"/>
      <c r="K416" s="339"/>
    </row>
    <row r="417" spans="1:11" ht="18.75">
      <c r="A417" s="269" t="s">
        <v>776</v>
      </c>
      <c r="B417" s="344" t="s">
        <v>900</v>
      </c>
      <c r="C417" s="268" t="s">
        <v>904</v>
      </c>
      <c r="D417" s="305"/>
      <c r="E417" s="341"/>
      <c r="F417" s="338"/>
      <c r="G417" s="343"/>
      <c r="H417" s="339"/>
      <c r="I417" s="339"/>
      <c r="J417" s="339"/>
      <c r="K417" s="339"/>
    </row>
    <row r="418" spans="1:11" ht="31.5">
      <c r="A418" s="269" t="s">
        <v>1084</v>
      </c>
      <c r="B418" s="344" t="s">
        <v>1057</v>
      </c>
      <c r="C418" s="268" t="s">
        <v>904</v>
      </c>
      <c r="D418" s="305"/>
      <c r="E418" s="341"/>
      <c r="F418" s="338"/>
      <c r="G418" s="343"/>
      <c r="H418" s="339"/>
      <c r="I418" s="339"/>
      <c r="J418" s="339"/>
      <c r="K418" s="339"/>
    </row>
    <row r="419" spans="1:11" ht="31.5">
      <c r="A419" s="269" t="s">
        <v>1085</v>
      </c>
      <c r="B419" s="344" t="s">
        <v>1058</v>
      </c>
      <c r="C419" s="268" t="s">
        <v>904</v>
      </c>
      <c r="D419" s="305"/>
      <c r="E419" s="341"/>
      <c r="F419" s="338"/>
      <c r="G419" s="343"/>
      <c r="H419" s="339"/>
      <c r="I419" s="339"/>
      <c r="J419" s="339"/>
      <c r="K419" s="339"/>
    </row>
    <row r="420" spans="1:11" ht="31.5">
      <c r="A420" s="269" t="s">
        <v>16</v>
      </c>
      <c r="B420" s="344" t="s">
        <v>1043</v>
      </c>
      <c r="C420" s="268" t="s">
        <v>904</v>
      </c>
      <c r="D420" s="305"/>
      <c r="E420" s="341"/>
      <c r="F420" s="338"/>
      <c r="G420" s="343"/>
      <c r="H420" s="339"/>
      <c r="I420" s="339"/>
      <c r="J420" s="339"/>
      <c r="K420" s="339"/>
    </row>
    <row r="421" spans="1:11" ht="18.75">
      <c r="A421" s="269" t="s">
        <v>777</v>
      </c>
      <c r="B421" s="344" t="s">
        <v>107</v>
      </c>
      <c r="C421" s="268" t="s">
        <v>904</v>
      </c>
      <c r="D421" s="305"/>
      <c r="E421" s="341"/>
      <c r="F421" s="338"/>
      <c r="G421" s="343"/>
      <c r="H421" s="339"/>
      <c r="I421" s="339"/>
      <c r="J421" s="339"/>
      <c r="K421" s="339"/>
    </row>
    <row r="422" spans="1:11" ht="18.75">
      <c r="A422" s="269" t="s">
        <v>778</v>
      </c>
      <c r="B422" s="344" t="s">
        <v>901</v>
      </c>
      <c r="C422" s="268" t="s">
        <v>904</v>
      </c>
      <c r="D422" s="305"/>
      <c r="E422" s="341"/>
      <c r="F422" s="338"/>
      <c r="G422" s="343"/>
      <c r="H422" s="339"/>
      <c r="I422" s="339"/>
      <c r="J422" s="339"/>
      <c r="K422" s="339"/>
    </row>
    <row r="423" spans="1:11" ht="18.75">
      <c r="A423" s="269" t="s">
        <v>779</v>
      </c>
      <c r="B423" s="344" t="s">
        <v>101</v>
      </c>
      <c r="C423" s="268" t="s">
        <v>904</v>
      </c>
      <c r="D423" s="305"/>
      <c r="E423" s="341"/>
      <c r="F423" s="338"/>
      <c r="G423" s="343"/>
      <c r="H423" s="339"/>
      <c r="I423" s="339"/>
      <c r="J423" s="339"/>
      <c r="K423" s="339"/>
    </row>
    <row r="424" spans="1:11" ht="18.75">
      <c r="A424" s="269" t="s">
        <v>780</v>
      </c>
      <c r="B424" s="344" t="s">
        <v>903</v>
      </c>
      <c r="C424" s="268" t="s">
        <v>904</v>
      </c>
      <c r="D424" s="305"/>
      <c r="E424" s="341"/>
      <c r="F424" s="338"/>
      <c r="G424" s="343"/>
      <c r="H424" s="339"/>
      <c r="I424" s="339"/>
      <c r="J424" s="339"/>
      <c r="K424" s="339"/>
    </row>
    <row r="425" spans="1:11" ht="18.75">
      <c r="A425" s="269" t="s">
        <v>781</v>
      </c>
      <c r="B425" s="344" t="s">
        <v>108</v>
      </c>
      <c r="C425" s="268" t="s">
        <v>904</v>
      </c>
      <c r="D425" s="305"/>
      <c r="E425" s="341"/>
      <c r="F425" s="338"/>
      <c r="G425" s="343"/>
      <c r="H425" s="339"/>
      <c r="I425" s="339"/>
      <c r="J425" s="339"/>
      <c r="K425" s="339"/>
    </row>
    <row r="426" spans="1:11" ht="31.5">
      <c r="A426" s="269" t="s">
        <v>782</v>
      </c>
      <c r="B426" s="344" t="s">
        <v>83</v>
      </c>
      <c r="C426" s="268" t="s">
        <v>904</v>
      </c>
      <c r="D426" s="305"/>
      <c r="E426" s="341"/>
      <c r="F426" s="338"/>
      <c r="G426" s="343"/>
      <c r="H426" s="339"/>
      <c r="I426" s="339"/>
      <c r="J426" s="339"/>
      <c r="K426" s="339"/>
    </row>
    <row r="427" spans="1:11" ht="18.75">
      <c r="A427" s="269" t="s">
        <v>17</v>
      </c>
      <c r="B427" s="345" t="s">
        <v>798</v>
      </c>
      <c r="C427" s="268" t="s">
        <v>904</v>
      </c>
      <c r="D427" s="305"/>
      <c r="E427" s="341"/>
      <c r="F427" s="338"/>
      <c r="G427" s="343"/>
      <c r="H427" s="339"/>
      <c r="I427" s="339"/>
      <c r="J427" s="339"/>
      <c r="K427" s="339"/>
    </row>
    <row r="428" spans="1:11" ht="18.75">
      <c r="A428" s="269" t="s">
        <v>18</v>
      </c>
      <c r="B428" s="345" t="s">
        <v>786</v>
      </c>
      <c r="C428" s="268" t="s">
        <v>904</v>
      </c>
      <c r="D428" s="305"/>
      <c r="E428" s="341"/>
      <c r="F428" s="338"/>
      <c r="G428" s="343"/>
      <c r="H428" s="339"/>
      <c r="I428" s="339"/>
      <c r="J428" s="339"/>
      <c r="K428" s="339"/>
    </row>
    <row r="429" spans="1:11" ht="18.75">
      <c r="A429" s="269" t="s">
        <v>168</v>
      </c>
      <c r="B429" s="270" t="s">
        <v>19</v>
      </c>
      <c r="C429" s="268" t="s">
        <v>904</v>
      </c>
      <c r="D429" s="305"/>
      <c r="E429" s="341">
        <f>E378*0.2</f>
        <v>1.6054</v>
      </c>
      <c r="F429" s="343">
        <v>1.6053333333333335</v>
      </c>
      <c r="G429" s="343">
        <v>1.5236666666666667</v>
      </c>
      <c r="H429" s="343">
        <v>3.37</v>
      </c>
      <c r="I429" s="348"/>
      <c r="J429" s="348"/>
      <c r="K429" s="348">
        <v>6.49</v>
      </c>
    </row>
    <row r="430" spans="1:11" ht="18.75">
      <c r="A430" s="269" t="s">
        <v>186</v>
      </c>
      <c r="B430" s="270" t="s">
        <v>475</v>
      </c>
      <c r="C430" s="268" t="s">
        <v>904</v>
      </c>
      <c r="D430" s="305"/>
      <c r="E430" s="338"/>
      <c r="F430" s="338"/>
      <c r="G430" s="343"/>
      <c r="H430" s="339"/>
      <c r="I430" s="339"/>
      <c r="J430" s="339"/>
      <c r="K430" s="339"/>
    </row>
    <row r="431" spans="1:12" ht="18.75">
      <c r="A431" s="269" t="s">
        <v>221</v>
      </c>
      <c r="B431" s="342" t="s">
        <v>1070</v>
      </c>
      <c r="C431" s="268" t="s">
        <v>904</v>
      </c>
      <c r="D431" s="305"/>
      <c r="E431" s="338"/>
      <c r="F431" s="338"/>
      <c r="G431" s="343"/>
      <c r="H431" s="339"/>
      <c r="I431" s="339"/>
      <c r="J431" s="339"/>
      <c r="K431" s="339"/>
      <c r="L431" s="326"/>
    </row>
    <row r="432" spans="1:11" ht="18.75">
      <c r="A432" s="269" t="s">
        <v>773</v>
      </c>
      <c r="B432" s="342" t="s">
        <v>774</v>
      </c>
      <c r="C432" s="268" t="s">
        <v>904</v>
      </c>
      <c r="D432" s="305"/>
      <c r="E432" s="338"/>
      <c r="F432" s="338"/>
      <c r="G432" s="343"/>
      <c r="H432" s="339"/>
      <c r="I432" s="339"/>
      <c r="J432" s="339"/>
      <c r="K432" s="339"/>
    </row>
    <row r="433" spans="1:11" ht="18.75">
      <c r="A433" s="269" t="s">
        <v>166</v>
      </c>
      <c r="B433" s="340" t="s">
        <v>371</v>
      </c>
      <c r="C433" s="268" t="s">
        <v>904</v>
      </c>
      <c r="D433" s="305"/>
      <c r="E433" s="338"/>
      <c r="F433" s="338"/>
      <c r="G433" s="343"/>
      <c r="H433" s="339"/>
      <c r="I433" s="339"/>
      <c r="J433" s="339"/>
      <c r="K433" s="339"/>
    </row>
    <row r="434" spans="1:11" ht="18.75">
      <c r="A434" s="269" t="s">
        <v>170</v>
      </c>
      <c r="B434" s="270" t="s">
        <v>372</v>
      </c>
      <c r="C434" s="268" t="s">
        <v>904</v>
      </c>
      <c r="D434" s="305"/>
      <c r="E434" s="338"/>
      <c r="F434" s="338"/>
      <c r="G434" s="343"/>
      <c r="H434" s="339"/>
      <c r="I434" s="339"/>
      <c r="J434" s="339"/>
      <c r="K434" s="339"/>
    </row>
    <row r="435" spans="1:11" ht="18.75">
      <c r="A435" s="269" t="s">
        <v>171</v>
      </c>
      <c r="B435" s="270" t="s">
        <v>373</v>
      </c>
      <c r="C435" s="268" t="s">
        <v>904</v>
      </c>
      <c r="D435" s="305"/>
      <c r="E435" s="338"/>
      <c r="F435" s="338"/>
      <c r="G435" s="343"/>
      <c r="H435" s="339"/>
      <c r="I435" s="339"/>
      <c r="J435" s="339"/>
      <c r="K435" s="339"/>
    </row>
    <row r="436" spans="1:11" ht="18.75">
      <c r="A436" s="269" t="s">
        <v>177</v>
      </c>
      <c r="B436" s="270" t="s">
        <v>138</v>
      </c>
      <c r="C436" s="268" t="s">
        <v>904</v>
      </c>
      <c r="D436" s="305"/>
      <c r="E436" s="338"/>
      <c r="F436" s="338"/>
      <c r="G436" s="343"/>
      <c r="H436" s="339"/>
      <c r="I436" s="339"/>
      <c r="J436" s="339"/>
      <c r="K436" s="339"/>
    </row>
    <row r="437" spans="1:11" ht="18.75">
      <c r="A437" s="269" t="s">
        <v>187</v>
      </c>
      <c r="B437" s="270" t="s">
        <v>374</v>
      </c>
      <c r="C437" s="268" t="s">
        <v>904</v>
      </c>
      <c r="D437" s="305"/>
      <c r="E437" s="338"/>
      <c r="F437" s="338"/>
      <c r="G437" s="343"/>
      <c r="H437" s="339"/>
      <c r="I437" s="339"/>
      <c r="J437" s="339"/>
      <c r="K437" s="339"/>
    </row>
    <row r="438" spans="1:11" ht="18.75">
      <c r="A438" s="269" t="s">
        <v>188</v>
      </c>
      <c r="B438" s="270" t="s">
        <v>375</v>
      </c>
      <c r="C438" s="268" t="s">
        <v>904</v>
      </c>
      <c r="D438" s="305"/>
      <c r="E438" s="338"/>
      <c r="F438" s="338"/>
      <c r="G438" s="343"/>
      <c r="H438" s="339"/>
      <c r="I438" s="339"/>
      <c r="J438" s="339"/>
      <c r="K438" s="339"/>
    </row>
    <row r="439" spans="1:11" ht="18.75">
      <c r="A439" s="269" t="s">
        <v>263</v>
      </c>
      <c r="B439" s="342" t="s">
        <v>775</v>
      </c>
      <c r="C439" s="268" t="s">
        <v>904</v>
      </c>
      <c r="D439" s="305"/>
      <c r="E439" s="338"/>
      <c r="F439" s="338"/>
      <c r="G439" s="343">
        <v>0</v>
      </c>
      <c r="H439" s="339">
        <v>0</v>
      </c>
      <c r="I439" s="339"/>
      <c r="J439" s="339"/>
      <c r="K439" s="339"/>
    </row>
    <row r="440" spans="1:11" ht="31.5">
      <c r="A440" s="269" t="s">
        <v>895</v>
      </c>
      <c r="B440" s="344" t="s">
        <v>887</v>
      </c>
      <c r="C440" s="268" t="s">
        <v>904</v>
      </c>
      <c r="D440" s="305"/>
      <c r="E440" s="338"/>
      <c r="F440" s="338"/>
      <c r="G440" s="343"/>
      <c r="H440" s="339"/>
      <c r="I440" s="339"/>
      <c r="J440" s="339"/>
      <c r="K440" s="339"/>
    </row>
    <row r="441" spans="1:11" ht="18.75">
      <c r="A441" s="269" t="s">
        <v>949</v>
      </c>
      <c r="B441" s="342" t="s">
        <v>894</v>
      </c>
      <c r="C441" s="268" t="s">
        <v>904</v>
      </c>
      <c r="D441" s="305"/>
      <c r="E441" s="338"/>
      <c r="F441" s="338"/>
      <c r="G441" s="343"/>
      <c r="H441" s="339"/>
      <c r="I441" s="339"/>
      <c r="J441" s="339"/>
      <c r="K441" s="339"/>
    </row>
    <row r="442" spans="1:11" ht="31.5">
      <c r="A442" s="269" t="s">
        <v>950</v>
      </c>
      <c r="B442" s="344" t="s">
        <v>896</v>
      </c>
      <c r="C442" s="268" t="s">
        <v>904</v>
      </c>
      <c r="D442" s="305"/>
      <c r="E442" s="338"/>
      <c r="F442" s="338"/>
      <c r="G442" s="343"/>
      <c r="H442" s="339"/>
      <c r="I442" s="339"/>
      <c r="J442" s="339"/>
      <c r="K442" s="339"/>
    </row>
    <row r="443" spans="1:11" ht="18.75">
      <c r="A443" s="269" t="s">
        <v>189</v>
      </c>
      <c r="B443" s="270" t="s">
        <v>381</v>
      </c>
      <c r="C443" s="268" t="s">
        <v>904</v>
      </c>
      <c r="D443" s="305"/>
      <c r="E443" s="338"/>
      <c r="F443" s="338"/>
      <c r="G443" s="343"/>
      <c r="H443" s="339"/>
      <c r="I443" s="339"/>
      <c r="J443" s="339"/>
      <c r="K443" s="339"/>
    </row>
    <row r="444" spans="1:11" ht="18.75">
      <c r="A444" s="269" t="s">
        <v>190</v>
      </c>
      <c r="B444" s="270" t="s">
        <v>382</v>
      </c>
      <c r="C444" s="268" t="s">
        <v>904</v>
      </c>
      <c r="D444" s="305"/>
      <c r="E444" s="338"/>
      <c r="F444" s="338"/>
      <c r="G444" s="343"/>
      <c r="H444" s="339"/>
      <c r="I444" s="339"/>
      <c r="J444" s="339"/>
      <c r="K444" s="339"/>
    </row>
    <row r="445" spans="1:11" ht="18.75">
      <c r="A445" s="269" t="s">
        <v>173</v>
      </c>
      <c r="B445" s="284" t="s">
        <v>1023</v>
      </c>
      <c r="C445" s="285" t="s">
        <v>436</v>
      </c>
      <c r="D445" s="306"/>
      <c r="E445" s="349"/>
      <c r="F445" s="347"/>
      <c r="G445" s="350"/>
      <c r="H445" s="351"/>
      <c r="I445" s="351"/>
      <c r="J445" s="351"/>
      <c r="K445" s="351"/>
    </row>
    <row r="446" spans="1:11" ht="47.25">
      <c r="A446" s="289" t="s">
        <v>987</v>
      </c>
      <c r="B446" s="270" t="s">
        <v>991</v>
      </c>
      <c r="C446" s="268" t="s">
        <v>904</v>
      </c>
      <c r="D446" s="306"/>
      <c r="E446" s="349"/>
      <c r="F446" s="347"/>
      <c r="G446" s="350"/>
      <c r="H446" s="351"/>
      <c r="I446" s="351"/>
      <c r="J446" s="351"/>
      <c r="K446" s="351"/>
    </row>
    <row r="447" spans="1:11" ht="18.75">
      <c r="A447" s="289" t="s">
        <v>988</v>
      </c>
      <c r="B447" s="342" t="s">
        <v>1071</v>
      </c>
      <c r="C447" s="268" t="s">
        <v>904</v>
      </c>
      <c r="D447" s="306"/>
      <c r="E447" s="349"/>
      <c r="F447" s="347"/>
      <c r="G447" s="350"/>
      <c r="H447" s="351"/>
      <c r="I447" s="351"/>
      <c r="J447" s="351"/>
      <c r="K447" s="351"/>
    </row>
    <row r="448" spans="1:11" ht="18.75">
      <c r="A448" s="289" t="s">
        <v>989</v>
      </c>
      <c r="B448" s="342" t="s">
        <v>1039</v>
      </c>
      <c r="C448" s="268" t="s">
        <v>904</v>
      </c>
      <c r="D448" s="306"/>
      <c r="E448" s="349"/>
      <c r="F448" s="347"/>
      <c r="G448" s="350"/>
      <c r="H448" s="351"/>
      <c r="I448" s="351"/>
      <c r="J448" s="351"/>
      <c r="K448" s="351"/>
    </row>
    <row r="449" spans="1:11" ht="18.75">
      <c r="A449" s="289" t="s">
        <v>990</v>
      </c>
      <c r="B449" s="342" t="s">
        <v>986</v>
      </c>
      <c r="C449" s="268" t="s">
        <v>904</v>
      </c>
      <c r="D449" s="306"/>
      <c r="E449" s="349"/>
      <c r="F449" s="347"/>
      <c r="G449" s="350"/>
      <c r="H449" s="351"/>
      <c r="I449" s="351"/>
      <c r="J449" s="351"/>
      <c r="K449" s="351"/>
    </row>
    <row r="450" spans="1:11" ht="31.5">
      <c r="A450" s="289" t="s">
        <v>195</v>
      </c>
      <c r="B450" s="270" t="s">
        <v>992</v>
      </c>
      <c r="C450" s="285" t="s">
        <v>436</v>
      </c>
      <c r="D450" s="306"/>
      <c r="E450" s="349"/>
      <c r="F450" s="347"/>
      <c r="G450" s="350"/>
      <c r="H450" s="351"/>
      <c r="I450" s="351"/>
      <c r="J450" s="351"/>
      <c r="K450" s="351"/>
    </row>
    <row r="451" spans="1:11" ht="18.75">
      <c r="A451" s="289" t="s">
        <v>993</v>
      </c>
      <c r="B451" s="342" t="s">
        <v>1108</v>
      </c>
      <c r="C451" s="268" t="s">
        <v>904</v>
      </c>
      <c r="D451" s="306"/>
      <c r="E451" s="349"/>
      <c r="F451" s="347"/>
      <c r="G451" s="350"/>
      <c r="H451" s="351"/>
      <c r="I451" s="351"/>
      <c r="J451" s="351"/>
      <c r="K451" s="351"/>
    </row>
    <row r="452" spans="1:11" ht="18.75">
      <c r="A452" s="289" t="s">
        <v>994</v>
      </c>
      <c r="B452" s="342" t="s">
        <v>1109</v>
      </c>
      <c r="C452" s="268" t="s">
        <v>904</v>
      </c>
      <c r="D452" s="306"/>
      <c r="E452" s="349"/>
      <c r="F452" s="347"/>
      <c r="G452" s="350"/>
      <c r="H452" s="351"/>
      <c r="I452" s="351"/>
      <c r="J452" s="351"/>
      <c r="K452" s="351"/>
    </row>
    <row r="453" spans="1:11" ht="18.75">
      <c r="A453" s="289" t="s">
        <v>995</v>
      </c>
      <c r="B453" s="342" t="s">
        <v>1110</v>
      </c>
      <c r="C453" s="268" t="s">
        <v>904</v>
      </c>
      <c r="D453" s="306"/>
      <c r="E453" s="349"/>
      <c r="F453" s="347"/>
      <c r="G453" s="350"/>
      <c r="H453" s="351"/>
      <c r="I453" s="351"/>
      <c r="J453" s="351"/>
      <c r="K453" s="351"/>
    </row>
    <row r="456" ht="18.75">
      <c r="A456" s="327" t="s">
        <v>962</v>
      </c>
    </row>
    <row r="457" spans="1:11" ht="15.75">
      <c r="A457" s="467" t="s">
        <v>133</v>
      </c>
      <c r="B457" s="467"/>
      <c r="C457" s="467"/>
      <c r="D457" s="467"/>
      <c r="E457" s="467"/>
      <c r="F457" s="467"/>
      <c r="G457" s="467"/>
      <c r="H457" s="467"/>
      <c r="I457" s="467"/>
      <c r="J457" s="467"/>
      <c r="K457" s="467"/>
    </row>
    <row r="458" spans="1:11" ht="15.75">
      <c r="A458" s="467" t="s">
        <v>1076</v>
      </c>
      <c r="B458" s="467"/>
      <c r="C458" s="467"/>
      <c r="D458" s="467"/>
      <c r="E458" s="467"/>
      <c r="F458" s="467"/>
      <c r="G458" s="467"/>
      <c r="H458" s="467"/>
      <c r="I458" s="467"/>
      <c r="J458" s="467"/>
      <c r="K458" s="467"/>
    </row>
    <row r="459" spans="1:11" ht="15.75">
      <c r="A459" s="467" t="s">
        <v>47</v>
      </c>
      <c r="B459" s="467"/>
      <c r="C459" s="467"/>
      <c r="D459" s="467"/>
      <c r="E459" s="467"/>
      <c r="F459" s="467"/>
      <c r="G459" s="467"/>
      <c r="H459" s="467"/>
      <c r="I459" s="467"/>
      <c r="J459" s="467"/>
      <c r="K459" s="467"/>
    </row>
    <row r="460" ht="18.75">
      <c r="A460" s="334" t="s">
        <v>46</v>
      </c>
    </row>
    <row r="461" spans="1:16" ht="15.75">
      <c r="A461" s="468" t="s">
        <v>112</v>
      </c>
      <c r="B461" s="468"/>
      <c r="C461" s="468"/>
      <c r="D461" s="468"/>
      <c r="E461" s="468"/>
      <c r="F461" s="468"/>
      <c r="G461" s="468"/>
      <c r="H461" s="468"/>
      <c r="I461" s="468"/>
      <c r="J461" s="468"/>
      <c r="K461" s="468"/>
      <c r="P461" s="272">
        <f>L21:P461</f>
        <v>0</v>
      </c>
    </row>
  </sheetData>
  <sheetProtection/>
  <mergeCells count="22">
    <mergeCell ref="A457:K457"/>
    <mergeCell ref="A458:K458"/>
    <mergeCell ref="A459:K459"/>
    <mergeCell ref="A461:K461"/>
    <mergeCell ref="A320:K320"/>
    <mergeCell ref="A370:K371"/>
    <mergeCell ref="A372:A373"/>
    <mergeCell ref="B372:B373"/>
    <mergeCell ref="C372:C373"/>
    <mergeCell ref="A375:B375"/>
    <mergeCell ref="A20:K20"/>
    <mergeCell ref="A21:A22"/>
    <mergeCell ref="B21:B22"/>
    <mergeCell ref="C21:C22"/>
    <mergeCell ref="A24:K24"/>
    <mergeCell ref="A168:K168"/>
    <mergeCell ref="A6:K7"/>
    <mergeCell ref="A9:B9"/>
    <mergeCell ref="A12:B12"/>
    <mergeCell ref="A14:B14"/>
    <mergeCell ref="A15:B15"/>
    <mergeCell ref="L15:M15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8" scale="5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zoomScalePageLayoutView="0" workbookViewId="0" topLeftCell="A1">
      <pane xSplit="3" ySplit="2" topLeftCell="D5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3" sqref="H73"/>
    </sheetView>
  </sheetViews>
  <sheetFormatPr defaultColWidth="9.140625" defaultRowHeight="15"/>
  <cols>
    <col min="1" max="1" width="6.00390625" style="0" customWidth="1"/>
    <col min="2" max="2" width="39.421875" style="0" customWidth="1"/>
    <col min="4" max="4" width="10.421875" style="0" customWidth="1"/>
    <col min="5" max="5" width="10.28125" style="0" customWidth="1"/>
    <col min="6" max="6" width="16.140625" style="0" customWidth="1"/>
    <col min="7" max="7" width="11.00390625" style="0" customWidth="1"/>
    <col min="8" max="9" width="10.8515625" style="0" customWidth="1"/>
    <col min="10" max="11" width="10.421875" style="0" customWidth="1"/>
  </cols>
  <sheetData>
    <row r="1" spans="4:11" s="51" customFormat="1" ht="49.5" customHeight="1" thickBot="1">
      <c r="D1" s="64" t="s">
        <v>331</v>
      </c>
      <c r="E1" s="64" t="s">
        <v>342</v>
      </c>
      <c r="F1" s="64" t="s">
        <v>343</v>
      </c>
      <c r="G1" s="64" t="s">
        <v>336</v>
      </c>
      <c r="H1" s="64" t="s">
        <v>337</v>
      </c>
      <c r="I1" s="64" t="s">
        <v>338</v>
      </c>
      <c r="J1" s="64" t="s">
        <v>339</v>
      </c>
      <c r="K1" s="64" t="s">
        <v>340</v>
      </c>
    </row>
    <row r="2" spans="1:11" ht="15.75" thickBot="1">
      <c r="A2" s="1" t="s">
        <v>223</v>
      </c>
      <c r="B2" s="2" t="s">
        <v>224</v>
      </c>
      <c r="C2" s="3" t="s">
        <v>225</v>
      </c>
      <c r="D2" s="23">
        <v>390804.63049</v>
      </c>
      <c r="E2" s="23">
        <v>427395.99913</v>
      </c>
      <c r="F2" s="23">
        <v>547271.7600190509</v>
      </c>
      <c r="G2" s="23">
        <v>466234.73279855994</v>
      </c>
      <c r="H2" s="23">
        <v>465272.5917579266</v>
      </c>
      <c r="I2" s="23">
        <v>515880.55097001744</v>
      </c>
      <c r="J2" s="23">
        <v>514816.2623415493</v>
      </c>
      <c r="K2" s="23">
        <v>545212.5128603345</v>
      </c>
    </row>
    <row r="3" spans="1:11" ht="15">
      <c r="A3" s="4" t="s">
        <v>164</v>
      </c>
      <c r="B3" s="5" t="s">
        <v>226</v>
      </c>
      <c r="C3" s="6" t="s">
        <v>225</v>
      </c>
      <c r="D3" s="24">
        <v>3938.05016</v>
      </c>
      <c r="E3" s="24">
        <v>5184.8203300000005</v>
      </c>
      <c r="F3" s="24">
        <v>3648.71</v>
      </c>
      <c r="G3" s="55">
        <v>3885.87615</v>
      </c>
      <c r="H3" s="55">
        <v>3860.33518</v>
      </c>
      <c r="I3" s="55">
        <v>4099.59933825</v>
      </c>
      <c r="J3" s="55">
        <v>4072.6536149</v>
      </c>
      <c r="K3" s="55">
        <v>4296.649563719499</v>
      </c>
    </row>
    <row r="4" spans="1:11" ht="15">
      <c r="A4" s="4" t="s">
        <v>165</v>
      </c>
      <c r="B4" s="5" t="s">
        <v>227</v>
      </c>
      <c r="C4" s="6" t="s">
        <v>225</v>
      </c>
      <c r="D4" s="25">
        <v>0</v>
      </c>
      <c r="E4" s="46">
        <v>0</v>
      </c>
      <c r="F4" s="25">
        <v>0</v>
      </c>
      <c r="G4" s="55"/>
      <c r="H4" s="55"/>
      <c r="I4" s="55"/>
      <c r="J4" s="55"/>
      <c r="K4" s="55"/>
    </row>
    <row r="5" spans="1:11" ht="22.5">
      <c r="A5" s="4" t="s">
        <v>168</v>
      </c>
      <c r="B5" s="7" t="s">
        <v>228</v>
      </c>
      <c r="C5" s="8" t="s">
        <v>225</v>
      </c>
      <c r="D5" s="26">
        <v>330.47184000000004</v>
      </c>
      <c r="E5" s="26">
        <v>550.6485299999999</v>
      </c>
      <c r="F5" s="39">
        <v>12156</v>
      </c>
      <c r="G5" s="56"/>
      <c r="H5" s="56"/>
      <c r="I5" s="56"/>
      <c r="J5" s="56"/>
      <c r="K5" s="56"/>
    </row>
    <row r="6" spans="1:11" ht="22.5">
      <c r="A6" s="4" t="s">
        <v>186</v>
      </c>
      <c r="B6" s="7" t="s">
        <v>229</v>
      </c>
      <c r="C6" s="8" t="s">
        <v>225</v>
      </c>
      <c r="D6" s="26">
        <v>0</v>
      </c>
      <c r="E6" s="26">
        <v>0</v>
      </c>
      <c r="F6" s="39">
        <v>117481.56</v>
      </c>
      <c r="G6" s="56">
        <v>0</v>
      </c>
      <c r="H6" s="56"/>
      <c r="I6" s="56">
        <v>0</v>
      </c>
      <c r="J6" s="56"/>
      <c r="K6" s="56"/>
    </row>
    <row r="7" spans="1:11" ht="22.5">
      <c r="A7" s="4" t="s">
        <v>221</v>
      </c>
      <c r="B7" s="7" t="s">
        <v>230</v>
      </c>
      <c r="C7" s="8" t="s">
        <v>225</v>
      </c>
      <c r="D7" s="26">
        <v>0</v>
      </c>
      <c r="E7" s="26">
        <v>0</v>
      </c>
      <c r="F7" s="26">
        <v>117481.56</v>
      </c>
      <c r="G7" s="56">
        <v>0</v>
      </c>
      <c r="H7" s="56"/>
      <c r="I7" s="56">
        <v>0</v>
      </c>
      <c r="J7" s="56"/>
      <c r="K7" s="56"/>
    </row>
    <row r="8" spans="1:11" ht="15">
      <c r="A8" s="4" t="s">
        <v>222</v>
      </c>
      <c r="B8" s="7" t="s">
        <v>231</v>
      </c>
      <c r="C8" s="8" t="s">
        <v>225</v>
      </c>
      <c r="D8" s="26">
        <v>0</v>
      </c>
      <c r="E8" s="26">
        <v>0</v>
      </c>
      <c r="F8" s="26">
        <v>0</v>
      </c>
      <c r="G8" s="56"/>
      <c r="H8" s="56"/>
      <c r="I8" s="56"/>
      <c r="J8" s="56"/>
      <c r="K8" s="56"/>
    </row>
    <row r="9" spans="1:11" ht="15">
      <c r="A9" s="4" t="s">
        <v>232</v>
      </c>
      <c r="B9" s="7" t="s">
        <v>233</v>
      </c>
      <c r="C9" s="8" t="s">
        <v>225</v>
      </c>
      <c r="D9" s="26">
        <v>0</v>
      </c>
      <c r="E9" s="26">
        <v>0</v>
      </c>
      <c r="F9" s="26">
        <v>0</v>
      </c>
      <c r="G9" s="56"/>
      <c r="H9" s="56"/>
      <c r="I9" s="56"/>
      <c r="J9" s="56"/>
      <c r="K9" s="56"/>
    </row>
    <row r="10" spans="1:11" ht="15">
      <c r="A10" s="4" t="s">
        <v>234</v>
      </c>
      <c r="B10" s="7" t="s">
        <v>235</v>
      </c>
      <c r="C10" s="8" t="s">
        <v>225</v>
      </c>
      <c r="D10" s="26">
        <v>0</v>
      </c>
      <c r="E10" s="26">
        <v>0</v>
      </c>
      <c r="F10" s="26">
        <v>0</v>
      </c>
      <c r="G10" s="56"/>
      <c r="H10" s="56"/>
      <c r="I10" s="56"/>
      <c r="J10" s="56"/>
      <c r="K10" s="56"/>
    </row>
    <row r="11" spans="1:11" ht="22.5">
      <c r="A11" s="4" t="s">
        <v>236</v>
      </c>
      <c r="B11" s="7" t="s">
        <v>237</v>
      </c>
      <c r="C11" s="8" t="s">
        <v>225</v>
      </c>
      <c r="D11" s="26">
        <v>1465.0347</v>
      </c>
      <c r="E11" s="26">
        <v>825.70802</v>
      </c>
      <c r="F11" s="26">
        <v>0</v>
      </c>
      <c r="G11" s="56"/>
      <c r="H11" s="56"/>
      <c r="I11" s="56"/>
      <c r="J11" s="56"/>
      <c r="K11" s="56"/>
    </row>
    <row r="12" spans="1:11" ht="22.5">
      <c r="A12" s="4" t="s">
        <v>238</v>
      </c>
      <c r="B12" s="7" t="s">
        <v>239</v>
      </c>
      <c r="C12" s="8" t="s">
        <v>225</v>
      </c>
      <c r="D12" s="26">
        <v>0</v>
      </c>
      <c r="E12" s="26">
        <v>0</v>
      </c>
      <c r="F12" s="26">
        <v>0</v>
      </c>
      <c r="G12" s="56"/>
      <c r="H12" s="56"/>
      <c r="I12" s="56"/>
      <c r="J12" s="56"/>
      <c r="K12" s="56"/>
    </row>
    <row r="13" spans="1:11" ht="45">
      <c r="A13" s="36" t="s">
        <v>240</v>
      </c>
      <c r="B13" s="37" t="s">
        <v>241</v>
      </c>
      <c r="C13" s="38" t="s">
        <v>225</v>
      </c>
      <c r="D13" s="39">
        <v>2409</v>
      </c>
      <c r="E13" s="39">
        <v>4407</v>
      </c>
      <c r="F13" s="39">
        <v>0</v>
      </c>
      <c r="G13" s="56"/>
      <c r="H13" s="56"/>
      <c r="I13" s="56"/>
      <c r="J13" s="56"/>
      <c r="K13" s="56"/>
    </row>
    <row r="14" spans="1:11" ht="22.5">
      <c r="A14" s="9" t="s">
        <v>242</v>
      </c>
      <c r="B14" s="7" t="s">
        <v>243</v>
      </c>
      <c r="C14" s="8" t="s">
        <v>225</v>
      </c>
      <c r="D14" s="26">
        <v>2409</v>
      </c>
      <c r="E14" s="26">
        <v>4407</v>
      </c>
      <c r="F14" s="26">
        <v>0</v>
      </c>
      <c r="G14" s="56"/>
      <c r="H14" s="56"/>
      <c r="I14" s="56"/>
      <c r="J14" s="56"/>
      <c r="K14" s="56"/>
    </row>
    <row r="15" spans="1:11" ht="15">
      <c r="A15" s="4" t="s">
        <v>244</v>
      </c>
      <c r="B15" s="7" t="s">
        <v>245</v>
      </c>
      <c r="C15" s="8" t="s">
        <v>225</v>
      </c>
      <c r="D15" s="26">
        <v>608.13585</v>
      </c>
      <c r="E15" s="26">
        <v>606.0138</v>
      </c>
      <c r="F15" s="26">
        <v>581.73</v>
      </c>
      <c r="G15" s="56">
        <v>569.6</v>
      </c>
      <c r="H15" s="55">
        <v>615.4703400000001</v>
      </c>
      <c r="I15" s="56">
        <v>569.6</v>
      </c>
      <c r="J15" s="55">
        <v>649.3212087</v>
      </c>
      <c r="K15" s="55">
        <v>685.0338751785</v>
      </c>
    </row>
    <row r="16" spans="1:11" ht="15">
      <c r="A16" s="4" t="s">
        <v>246</v>
      </c>
      <c r="B16" s="5" t="s">
        <v>247</v>
      </c>
      <c r="C16" s="6" t="s">
        <v>225</v>
      </c>
      <c r="D16" s="25">
        <v>11.01757</v>
      </c>
      <c r="E16" s="25">
        <v>15.316139999999999</v>
      </c>
      <c r="F16" s="25">
        <v>0</v>
      </c>
      <c r="G16" s="55"/>
      <c r="H16" s="55"/>
      <c r="I16" s="55"/>
      <c r="J16" s="55"/>
      <c r="K16" s="55"/>
    </row>
    <row r="17" spans="1:11" ht="15">
      <c r="A17" s="4" t="s">
        <v>248</v>
      </c>
      <c r="B17" s="5" t="s">
        <v>249</v>
      </c>
      <c r="C17" s="6" t="s">
        <v>225</v>
      </c>
      <c r="D17" s="25">
        <v>29879.89276</v>
      </c>
      <c r="E17" s="25">
        <v>29427.63435</v>
      </c>
      <c r="F17" s="25">
        <v>10800</v>
      </c>
      <c r="G17" s="55">
        <v>11502</v>
      </c>
      <c r="H17" s="55">
        <v>11426.400000000001</v>
      </c>
      <c r="I17" s="55">
        <v>12134.609999999999</v>
      </c>
      <c r="J17" s="55">
        <v>12054.852</v>
      </c>
      <c r="K17" s="55">
        <v>12717.86886</v>
      </c>
    </row>
    <row r="18" spans="1:11" ht="15">
      <c r="A18" s="32" t="s">
        <v>250</v>
      </c>
      <c r="B18" s="33" t="s">
        <v>251</v>
      </c>
      <c r="C18" s="34" t="s">
        <v>225</v>
      </c>
      <c r="D18" s="35">
        <v>281338.75399999996</v>
      </c>
      <c r="E18" s="35">
        <v>284594.78215</v>
      </c>
      <c r="F18" s="35">
        <v>295224.7585000001</v>
      </c>
      <c r="G18" s="60">
        <v>335918.6200307709</v>
      </c>
      <c r="H18" s="60">
        <v>335918.6200307709</v>
      </c>
      <c r="I18" s="60">
        <v>378428.38</v>
      </c>
      <c r="J18" s="60">
        <v>378428.38</v>
      </c>
      <c r="K18" s="55">
        <v>401323.29699</v>
      </c>
    </row>
    <row r="19" spans="1:11" ht="15">
      <c r="A19" s="32" t="s">
        <v>252</v>
      </c>
      <c r="B19" s="33" t="s">
        <v>253</v>
      </c>
      <c r="C19" s="34" t="s">
        <v>225</v>
      </c>
      <c r="D19" s="35">
        <v>62543.19872</v>
      </c>
      <c r="E19" s="35">
        <v>98287.91110999999</v>
      </c>
      <c r="F19" s="35">
        <v>99618.13151905077</v>
      </c>
      <c r="G19" s="60">
        <v>106093.31006778908</v>
      </c>
      <c r="H19" s="60">
        <v>105395.98314715573</v>
      </c>
      <c r="I19" s="60">
        <v>111928.44212151747</v>
      </c>
      <c r="J19" s="60">
        <v>111192.76222024928</v>
      </c>
      <c r="K19" s="55">
        <v>117308.36414236299</v>
      </c>
    </row>
    <row r="20" spans="1:11" ht="15">
      <c r="A20" s="4" t="s">
        <v>254</v>
      </c>
      <c r="B20" s="5" t="s">
        <v>255</v>
      </c>
      <c r="C20" s="6" t="s">
        <v>225</v>
      </c>
      <c r="D20" s="25">
        <v>0</v>
      </c>
      <c r="E20" s="25">
        <v>0</v>
      </c>
      <c r="F20" s="25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</row>
    <row r="21" spans="1:11" ht="15.75" thickBot="1">
      <c r="A21" s="4" t="s">
        <v>256</v>
      </c>
      <c r="B21" s="5" t="s">
        <v>257</v>
      </c>
      <c r="C21" s="6" t="s">
        <v>225</v>
      </c>
      <c r="D21" s="27">
        <v>8281.07489</v>
      </c>
      <c r="E21" s="27">
        <v>3496.1647000000003</v>
      </c>
      <c r="F21" s="27">
        <v>7760.87</v>
      </c>
      <c r="G21" s="57">
        <v>8265.32655</v>
      </c>
      <c r="H21" s="57">
        <v>8055.78306</v>
      </c>
      <c r="I21" s="57">
        <v>8719.91951025</v>
      </c>
      <c r="J21" s="57">
        <v>8418.2932977</v>
      </c>
      <c r="K21" s="57">
        <v>8881.299429073499</v>
      </c>
    </row>
    <row r="22" spans="1:11" ht="15.75" thickBot="1">
      <c r="A22" s="10" t="s">
        <v>258</v>
      </c>
      <c r="B22" s="2" t="s">
        <v>259</v>
      </c>
      <c r="C22" s="11" t="s">
        <v>225</v>
      </c>
      <c r="D22" s="28">
        <v>129361.59715000002</v>
      </c>
      <c r="E22" s="28">
        <v>154307.46044</v>
      </c>
      <c r="F22" s="28">
        <v>293793.2238969509</v>
      </c>
      <c r="G22" s="28">
        <v>167665.74582555276</v>
      </c>
      <c r="H22" s="28">
        <v>166578.1910289761</v>
      </c>
      <c r="I22" s="28">
        <v>175603.99244595805</v>
      </c>
      <c r="J22" s="28">
        <v>171423.18439833156</v>
      </c>
      <c r="K22" s="28">
        <v>172860.9220402398</v>
      </c>
    </row>
    <row r="23" spans="1:11" ht="15">
      <c r="A23" s="12" t="s">
        <v>170</v>
      </c>
      <c r="B23" s="5" t="s">
        <v>157</v>
      </c>
      <c r="C23" s="6" t="s">
        <v>225</v>
      </c>
      <c r="D23" s="29">
        <v>9449.99997</v>
      </c>
      <c r="E23" s="29">
        <v>11317.001940000002</v>
      </c>
      <c r="F23" s="29">
        <v>31952.11438</v>
      </c>
      <c r="G23" s="55">
        <v>24378.75</v>
      </c>
      <c r="H23" s="55">
        <v>24378.75</v>
      </c>
      <c r="I23" s="55">
        <v>24378.75</v>
      </c>
      <c r="J23" s="55">
        <v>21532.5</v>
      </c>
      <c r="K23" s="55">
        <v>14726.25</v>
      </c>
    </row>
    <row r="24" spans="1:11" ht="15">
      <c r="A24" s="12" t="s">
        <v>171</v>
      </c>
      <c r="B24" s="5" t="s">
        <v>227</v>
      </c>
      <c r="C24" s="6" t="s">
        <v>225</v>
      </c>
      <c r="D24" s="25">
        <v>0</v>
      </c>
      <c r="E24" s="46">
        <v>0</v>
      </c>
      <c r="F24" s="25">
        <v>0</v>
      </c>
      <c r="G24" s="55"/>
      <c r="H24" s="55"/>
      <c r="I24" s="55"/>
      <c r="J24" s="55"/>
      <c r="K24" s="55"/>
    </row>
    <row r="25" spans="1:11" ht="22.5">
      <c r="A25" s="12" t="s">
        <v>177</v>
      </c>
      <c r="B25" s="7" t="s">
        <v>260</v>
      </c>
      <c r="C25" s="8" t="s">
        <v>225</v>
      </c>
      <c r="D25" s="26">
        <v>345.75536</v>
      </c>
      <c r="E25" s="26">
        <v>231.2061</v>
      </c>
      <c r="F25" s="39">
        <v>12156</v>
      </c>
      <c r="G25" s="56"/>
      <c r="H25" s="56"/>
      <c r="I25" s="56"/>
      <c r="J25" s="56"/>
      <c r="K25" s="56"/>
    </row>
    <row r="26" spans="1:11" ht="22.5">
      <c r="A26" s="12" t="s">
        <v>187</v>
      </c>
      <c r="B26" s="7" t="s">
        <v>229</v>
      </c>
      <c r="C26" s="8" t="s">
        <v>225</v>
      </c>
      <c r="D26" s="26">
        <v>0</v>
      </c>
      <c r="E26" s="26">
        <v>0</v>
      </c>
      <c r="F26" s="39">
        <v>115178</v>
      </c>
      <c r="G26" s="56">
        <v>0</v>
      </c>
      <c r="H26" s="56"/>
      <c r="I26" s="56">
        <v>0</v>
      </c>
      <c r="J26" s="56"/>
      <c r="K26" s="56"/>
    </row>
    <row r="27" spans="1:11" ht="22.5">
      <c r="A27" s="12" t="s">
        <v>261</v>
      </c>
      <c r="B27" s="7" t="s">
        <v>230</v>
      </c>
      <c r="C27" s="8" t="s">
        <v>225</v>
      </c>
      <c r="D27" s="26">
        <v>0</v>
      </c>
      <c r="E27" s="26">
        <v>0</v>
      </c>
      <c r="F27" s="26">
        <v>115178</v>
      </c>
      <c r="G27" s="56">
        <v>0</v>
      </c>
      <c r="H27" s="56"/>
      <c r="I27" s="56">
        <v>0</v>
      </c>
      <c r="J27" s="56"/>
      <c r="K27" s="56"/>
    </row>
    <row r="28" spans="1:11" ht="22.5">
      <c r="A28" s="12" t="s">
        <v>188</v>
      </c>
      <c r="B28" s="7" t="s">
        <v>262</v>
      </c>
      <c r="C28" s="8" t="s">
        <v>225</v>
      </c>
      <c r="D28" s="26">
        <v>0</v>
      </c>
      <c r="E28" s="26">
        <v>0</v>
      </c>
      <c r="F28" s="26">
        <v>0</v>
      </c>
      <c r="G28" s="56"/>
      <c r="H28" s="56"/>
      <c r="I28" s="56"/>
      <c r="J28" s="56"/>
      <c r="K28" s="56"/>
    </row>
    <row r="29" spans="1:11" ht="22.5">
      <c r="A29" s="12" t="s">
        <v>263</v>
      </c>
      <c r="B29" s="7" t="s">
        <v>243</v>
      </c>
      <c r="C29" s="8" t="s">
        <v>225</v>
      </c>
      <c r="D29" s="26">
        <v>0</v>
      </c>
      <c r="E29" s="26">
        <v>0</v>
      </c>
      <c r="F29" s="26">
        <v>0</v>
      </c>
      <c r="G29" s="56"/>
      <c r="H29" s="56"/>
      <c r="I29" s="56"/>
      <c r="J29" s="56"/>
      <c r="K29" s="56"/>
    </row>
    <row r="30" spans="1:11" ht="15">
      <c r="A30" s="12" t="s">
        <v>189</v>
      </c>
      <c r="B30" s="7" t="s">
        <v>231</v>
      </c>
      <c r="C30" s="8" t="s">
        <v>225</v>
      </c>
      <c r="D30" s="26">
        <v>0</v>
      </c>
      <c r="E30" s="26">
        <v>0</v>
      </c>
      <c r="F30" s="26">
        <v>0</v>
      </c>
      <c r="G30" s="56"/>
      <c r="H30" s="56"/>
      <c r="I30" s="56"/>
      <c r="J30" s="56"/>
      <c r="K30" s="56"/>
    </row>
    <row r="31" spans="1:11" ht="15">
      <c r="A31" s="12" t="s">
        <v>190</v>
      </c>
      <c r="B31" s="7" t="s">
        <v>264</v>
      </c>
      <c r="C31" s="8" t="s">
        <v>225</v>
      </c>
      <c r="D31" s="26">
        <v>36.064</v>
      </c>
      <c r="E31" s="26">
        <v>88.131</v>
      </c>
      <c r="F31" s="26">
        <v>88.212</v>
      </c>
      <c r="G31" s="57">
        <v>130.87</v>
      </c>
      <c r="H31" s="57">
        <v>93.32829600000001</v>
      </c>
      <c r="I31" s="57">
        <v>195.53</v>
      </c>
      <c r="J31" s="57">
        <v>98.46135228</v>
      </c>
      <c r="K31" s="57">
        <v>103.87672665539999</v>
      </c>
    </row>
    <row r="32" spans="1:11" ht="15">
      <c r="A32" s="12" t="s">
        <v>191</v>
      </c>
      <c r="B32" s="7" t="s">
        <v>265</v>
      </c>
      <c r="C32" s="8" t="s">
        <v>225</v>
      </c>
      <c r="D32" s="26">
        <v>483.54414</v>
      </c>
      <c r="E32" s="26">
        <v>338.79533</v>
      </c>
      <c r="F32" s="52">
        <v>516.239</v>
      </c>
      <c r="G32" s="56">
        <v>549.794535</v>
      </c>
      <c r="H32" s="55">
        <v>546.180862</v>
      </c>
      <c r="I32" s="56">
        <v>580.0332344249999</v>
      </c>
      <c r="J32" s="55">
        <v>576.22080941</v>
      </c>
      <c r="K32" s="55">
        <v>607.91295392755</v>
      </c>
    </row>
    <row r="33" spans="1:11" ht="15">
      <c r="A33" s="40" t="s">
        <v>192</v>
      </c>
      <c r="B33" s="41" t="s">
        <v>266</v>
      </c>
      <c r="C33" s="42" t="s">
        <v>225</v>
      </c>
      <c r="D33" s="43">
        <v>89468.49158999999</v>
      </c>
      <c r="E33" s="43">
        <v>110312.60970999999</v>
      </c>
      <c r="F33" s="43">
        <v>110618.13151905069</v>
      </c>
      <c r="G33" s="61">
        <v>117808.31006778897</v>
      </c>
      <c r="H33" s="60">
        <v>117033.98314715564</v>
      </c>
      <c r="I33" s="61">
        <v>124287.76712151736</v>
      </c>
      <c r="J33" s="60">
        <v>123470.85222024919</v>
      </c>
      <c r="K33" s="55">
        <v>130261.74909236288</v>
      </c>
    </row>
    <row r="34" spans="1:11" ht="15">
      <c r="A34" s="12" t="s">
        <v>267</v>
      </c>
      <c r="B34" s="7" t="s">
        <v>268</v>
      </c>
      <c r="C34" s="8" t="s">
        <v>225</v>
      </c>
      <c r="D34" s="26">
        <v>0</v>
      </c>
      <c r="E34" s="26">
        <v>0</v>
      </c>
      <c r="F34" s="26">
        <v>0</v>
      </c>
      <c r="G34" s="56">
        <v>0</v>
      </c>
      <c r="H34" s="56"/>
      <c r="I34" s="56">
        <v>0</v>
      </c>
      <c r="J34" s="56"/>
      <c r="K34" s="56"/>
    </row>
    <row r="35" spans="1:11" ht="22.5">
      <c r="A35" s="12" t="s">
        <v>269</v>
      </c>
      <c r="B35" s="7" t="s">
        <v>270</v>
      </c>
      <c r="C35" s="8" t="s">
        <v>225</v>
      </c>
      <c r="D35" s="26">
        <v>3.8247</v>
      </c>
      <c r="E35" s="26">
        <v>795.41523</v>
      </c>
      <c r="F35" s="53">
        <v>0</v>
      </c>
      <c r="G35" s="56">
        <v>0</v>
      </c>
      <c r="H35" s="56"/>
      <c r="I35" s="56">
        <v>0</v>
      </c>
      <c r="J35" s="56"/>
      <c r="K35" s="56"/>
    </row>
    <row r="36" spans="1:11" ht="22.5">
      <c r="A36" s="12" t="s">
        <v>271</v>
      </c>
      <c r="B36" s="13" t="s">
        <v>237</v>
      </c>
      <c r="C36" s="8" t="s">
        <v>225</v>
      </c>
      <c r="D36" s="26">
        <v>483.41481999999996</v>
      </c>
      <c r="E36" s="26">
        <v>1615.12214</v>
      </c>
      <c r="F36" s="52">
        <v>120</v>
      </c>
      <c r="G36" s="56">
        <v>127.8</v>
      </c>
      <c r="H36" s="55">
        <v>126.96000000000001</v>
      </c>
      <c r="I36" s="56">
        <v>134.82899999999998</v>
      </c>
      <c r="J36" s="55">
        <v>133.9428</v>
      </c>
      <c r="K36" s="55">
        <v>141.309654</v>
      </c>
    </row>
    <row r="37" spans="1:11" ht="22.5">
      <c r="A37" s="12" t="s">
        <v>272</v>
      </c>
      <c r="B37" s="7" t="s">
        <v>273</v>
      </c>
      <c r="C37" s="8" t="s">
        <v>225</v>
      </c>
      <c r="D37" s="26">
        <v>12.32187</v>
      </c>
      <c r="E37" s="26">
        <v>52.157</v>
      </c>
      <c r="F37" s="26">
        <v>0</v>
      </c>
      <c r="G37" s="56">
        <v>0</v>
      </c>
      <c r="H37" s="56"/>
      <c r="I37" s="56">
        <v>0</v>
      </c>
      <c r="J37" s="56"/>
      <c r="K37" s="56"/>
    </row>
    <row r="38" spans="1:11" ht="15">
      <c r="A38" s="12" t="s">
        <v>274</v>
      </c>
      <c r="B38" s="14" t="s">
        <v>249</v>
      </c>
      <c r="C38" s="8" t="s">
        <v>225</v>
      </c>
      <c r="D38" s="26">
        <v>16237.609890000002</v>
      </c>
      <c r="E38" s="26">
        <v>15938.939870000002</v>
      </c>
      <c r="F38" s="26">
        <v>10666.849999999999</v>
      </c>
      <c r="G38" s="56">
        <v>11360.195249999997</v>
      </c>
      <c r="H38" s="55">
        <v>11426.400000000001</v>
      </c>
      <c r="I38" s="56">
        <v>11985.005988749996</v>
      </c>
      <c r="J38" s="55">
        <v>12054.852</v>
      </c>
      <c r="K38" s="55">
        <v>12717.86886</v>
      </c>
    </row>
    <row r="39" spans="1:11" ht="15">
      <c r="A39" s="40" t="s">
        <v>275</v>
      </c>
      <c r="B39" s="44" t="s">
        <v>276</v>
      </c>
      <c r="C39" s="45" t="s">
        <v>225</v>
      </c>
      <c r="D39" s="35">
        <v>2018.15477</v>
      </c>
      <c r="E39" s="35">
        <v>2410.46821</v>
      </c>
      <c r="F39" s="35">
        <v>3814.0000000000005</v>
      </c>
      <c r="G39" s="62">
        <v>4061.91</v>
      </c>
      <c r="H39" s="62">
        <v>3958.9320000000007</v>
      </c>
      <c r="I39" s="62">
        <v>4285.315049999999</v>
      </c>
      <c r="J39" s="62">
        <v>4137.0839399999995</v>
      </c>
      <c r="K39" s="58">
        <v>4364.623556699999</v>
      </c>
    </row>
    <row r="40" spans="1:11" ht="22.5">
      <c r="A40" s="12" t="s">
        <v>277</v>
      </c>
      <c r="B40" s="15" t="s">
        <v>278</v>
      </c>
      <c r="C40" s="16" t="s">
        <v>225</v>
      </c>
      <c r="D40" s="25">
        <v>0</v>
      </c>
      <c r="E40" s="25">
        <v>0</v>
      </c>
      <c r="F40" s="25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</row>
    <row r="41" spans="1:11" ht="15">
      <c r="A41" s="12" t="s">
        <v>279</v>
      </c>
      <c r="B41" s="15" t="s">
        <v>280</v>
      </c>
      <c r="C41" s="16" t="s">
        <v>225</v>
      </c>
      <c r="D41" s="25">
        <v>0</v>
      </c>
      <c r="E41" s="25">
        <v>0</v>
      </c>
      <c r="F41" s="25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</row>
    <row r="42" spans="1:11" ht="15">
      <c r="A42" s="47" t="s">
        <v>281</v>
      </c>
      <c r="B42" s="48" t="s">
        <v>282</v>
      </c>
      <c r="C42" s="49" t="s">
        <v>225</v>
      </c>
      <c r="D42" s="50">
        <v>3419.7135800000106</v>
      </c>
      <c r="E42" s="46">
        <v>2611.125195000015</v>
      </c>
      <c r="F42" s="50">
        <v>3865.067022900228</v>
      </c>
      <c r="G42" s="63">
        <v>4116.296379388776</v>
      </c>
      <c r="H42" s="63">
        <v>4011.939569770475</v>
      </c>
      <c r="I42" s="63">
        <v>4342.6926802551025</v>
      </c>
      <c r="J42" s="63">
        <v>4192.476850410108</v>
      </c>
      <c r="K42" s="58">
        <v>4423.063077182684</v>
      </c>
    </row>
    <row r="43" spans="1:11" ht="15">
      <c r="A43" s="12" t="s">
        <v>283</v>
      </c>
      <c r="B43" s="15" t="s">
        <v>284</v>
      </c>
      <c r="C43" s="16" t="s">
        <v>225</v>
      </c>
      <c r="D43" s="25">
        <v>0</v>
      </c>
      <c r="E43" s="25">
        <v>0</v>
      </c>
      <c r="F43" s="25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</row>
    <row r="44" spans="1:11" ht="22.5">
      <c r="A44" s="12" t="s">
        <v>285</v>
      </c>
      <c r="B44" s="15" t="s">
        <v>286</v>
      </c>
      <c r="C44" s="8" t="s">
        <v>225</v>
      </c>
      <c r="D44" s="26">
        <v>915.0600000000001</v>
      </c>
      <c r="E44" s="26">
        <v>1017.2386000000001</v>
      </c>
      <c r="F44" s="26">
        <v>1227.662</v>
      </c>
      <c r="G44" s="56">
        <v>1307.46</v>
      </c>
      <c r="H44" s="56">
        <v>1274.3131560000002</v>
      </c>
      <c r="I44" s="56">
        <v>1379.37</v>
      </c>
      <c r="J44" s="56">
        <v>1331.65724802</v>
      </c>
      <c r="K44" s="56">
        <v>1404.8983966611</v>
      </c>
    </row>
    <row r="45" spans="1:11" ht="22.5">
      <c r="A45" s="12" t="s">
        <v>287</v>
      </c>
      <c r="B45" s="15" t="s">
        <v>288</v>
      </c>
      <c r="C45" s="6" t="s">
        <v>225</v>
      </c>
      <c r="D45" s="25">
        <v>161.35196000000002</v>
      </c>
      <c r="E45" s="25">
        <v>255.8436</v>
      </c>
      <c r="F45" s="25">
        <v>303.55199999999996</v>
      </c>
      <c r="G45" s="55">
        <v>323.2828799999999</v>
      </c>
      <c r="H45" s="55">
        <v>315.086976</v>
      </c>
      <c r="I45" s="55">
        <v>341.0634383999999</v>
      </c>
      <c r="J45" s="55">
        <v>329.26588991999995</v>
      </c>
      <c r="K45" s="55">
        <v>347.37551386559994</v>
      </c>
    </row>
    <row r="46" spans="1:11" ht="22.5">
      <c r="A46" s="12" t="s">
        <v>289</v>
      </c>
      <c r="B46" s="15" t="s">
        <v>290</v>
      </c>
      <c r="C46" s="6" t="s">
        <v>225</v>
      </c>
      <c r="D46" s="25">
        <v>270.8634</v>
      </c>
      <c r="E46" s="25">
        <v>1108.5923</v>
      </c>
      <c r="F46" s="25">
        <v>718.626982</v>
      </c>
      <c r="G46" s="55">
        <v>765.3377358299999</v>
      </c>
      <c r="H46" s="55">
        <v>745.934807316</v>
      </c>
      <c r="I46" s="55">
        <v>807.4313113006499</v>
      </c>
      <c r="J46" s="55">
        <v>779.50187364522</v>
      </c>
      <c r="K46" s="55">
        <v>822.3744766957071</v>
      </c>
    </row>
    <row r="47" spans="1:11" ht="15">
      <c r="A47" s="12" t="s">
        <v>291</v>
      </c>
      <c r="B47" s="15" t="s">
        <v>292</v>
      </c>
      <c r="C47" s="16" t="s">
        <v>225</v>
      </c>
      <c r="D47" s="25">
        <v>6055.427100000001</v>
      </c>
      <c r="E47" s="25">
        <v>6214.814214999956</v>
      </c>
      <c r="F47" s="25">
        <v>2568.768993</v>
      </c>
      <c r="G47" s="58">
        <v>2735.738977545</v>
      </c>
      <c r="H47" s="58">
        <v>2666.3822147339997</v>
      </c>
      <c r="I47" s="58">
        <v>2886.2046213099748</v>
      </c>
      <c r="J47" s="58">
        <v>2786.36941439703</v>
      </c>
      <c r="K47" s="58">
        <v>2939.6197321888667</v>
      </c>
    </row>
    <row r="48" spans="1:11" ht="22.5">
      <c r="A48" s="17" t="s">
        <v>293</v>
      </c>
      <c r="B48" s="18" t="s">
        <v>294</v>
      </c>
      <c r="C48" s="6" t="s">
        <v>225</v>
      </c>
      <c r="D48" s="25">
        <v>0</v>
      </c>
      <c r="E48" s="25">
        <v>0</v>
      </c>
      <c r="F48" s="25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1" ht="22.5">
      <c r="A49" s="17" t="s">
        <v>295</v>
      </c>
      <c r="B49" s="18" t="s">
        <v>296</v>
      </c>
      <c r="C49" s="6" t="s">
        <v>225</v>
      </c>
      <c r="D49" s="25">
        <v>0</v>
      </c>
      <c r="E49" s="25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</row>
    <row r="50" spans="1:11" ht="22.5">
      <c r="A50" s="17" t="s">
        <v>297</v>
      </c>
      <c r="B50" s="18" t="s">
        <v>298</v>
      </c>
      <c r="C50" s="6" t="s">
        <v>225</v>
      </c>
      <c r="D50" s="25">
        <v>0</v>
      </c>
      <c r="E50" s="25">
        <v>0</v>
      </c>
      <c r="F50" s="25">
        <v>0</v>
      </c>
      <c r="G50" s="55"/>
      <c r="H50" s="55"/>
      <c r="I50" s="55"/>
      <c r="J50" s="55"/>
      <c r="K50" s="55"/>
    </row>
    <row r="51" spans="1:11" ht="22.5">
      <c r="A51" s="17" t="s">
        <v>299</v>
      </c>
      <c r="B51" s="18" t="s">
        <v>300</v>
      </c>
      <c r="C51" s="6" t="s">
        <v>225</v>
      </c>
      <c r="D51" s="25">
        <v>0</v>
      </c>
      <c r="E51" s="25">
        <v>0</v>
      </c>
      <c r="F51" s="25">
        <v>0</v>
      </c>
      <c r="G51" s="55"/>
      <c r="H51" s="55"/>
      <c r="I51" s="55"/>
      <c r="J51" s="55"/>
      <c r="K51" s="55"/>
    </row>
    <row r="52" spans="1:11" ht="22.5">
      <c r="A52" s="17" t="s">
        <v>301</v>
      </c>
      <c r="B52" s="18" t="s">
        <v>302</v>
      </c>
      <c r="C52" s="6" t="s">
        <v>225</v>
      </c>
      <c r="D52" s="25">
        <v>0</v>
      </c>
      <c r="E52" s="25">
        <v>0</v>
      </c>
      <c r="F52" s="25">
        <v>0</v>
      </c>
      <c r="G52" s="55"/>
      <c r="H52" s="55"/>
      <c r="I52" s="55"/>
      <c r="J52" s="55"/>
      <c r="K52" s="55"/>
    </row>
    <row r="53" spans="1:11" ht="22.5">
      <c r="A53" s="17" t="s">
        <v>303</v>
      </c>
      <c r="B53" s="18" t="s">
        <v>304</v>
      </c>
      <c r="C53" s="6" t="s">
        <v>225</v>
      </c>
      <c r="D53" s="25">
        <v>0</v>
      </c>
      <c r="E53" s="25">
        <v>0</v>
      </c>
      <c r="F53" s="25">
        <v>0</v>
      </c>
      <c r="G53" s="55"/>
      <c r="H53" s="55"/>
      <c r="I53" s="55"/>
      <c r="J53" s="55"/>
      <c r="K53" s="55"/>
    </row>
    <row r="54" spans="1:11" ht="22.5">
      <c r="A54" s="17" t="s">
        <v>305</v>
      </c>
      <c r="B54" s="18" t="s">
        <v>306</v>
      </c>
      <c r="C54" s="6" t="s">
        <v>225</v>
      </c>
      <c r="D54" s="25">
        <v>0</v>
      </c>
      <c r="E54" s="25">
        <v>0</v>
      </c>
      <c r="F54" s="25">
        <v>0</v>
      </c>
      <c r="G54" s="55"/>
      <c r="H54" s="55"/>
      <c r="I54" s="55"/>
      <c r="J54" s="55"/>
      <c r="K54" s="55"/>
    </row>
    <row r="55" spans="1:11" ht="22.5">
      <c r="A55" s="17" t="s">
        <v>307</v>
      </c>
      <c r="B55" s="19" t="s">
        <v>308</v>
      </c>
      <c r="C55" s="8" t="s">
        <v>225</v>
      </c>
      <c r="D55" s="25">
        <v>0</v>
      </c>
      <c r="E55" s="25">
        <v>0</v>
      </c>
      <c r="F55" s="25">
        <v>0</v>
      </c>
      <c r="G55" s="55"/>
      <c r="H55" s="55"/>
      <c r="I55" s="55"/>
      <c r="J55" s="55"/>
      <c r="K55" s="55"/>
    </row>
    <row r="56" spans="1:11" ht="22.5">
      <c r="A56" s="17" t="s">
        <v>309</v>
      </c>
      <c r="B56" s="18" t="s">
        <v>310</v>
      </c>
      <c r="C56" s="6" t="s">
        <v>225</v>
      </c>
      <c r="D56" s="25">
        <v>0</v>
      </c>
      <c r="E56" s="25">
        <v>0</v>
      </c>
      <c r="F56" s="25">
        <v>0</v>
      </c>
      <c r="G56" s="55"/>
      <c r="H56" s="55"/>
      <c r="I56" s="55"/>
      <c r="J56" s="55"/>
      <c r="K56" s="55"/>
    </row>
    <row r="57" spans="1:11" ht="15">
      <c r="A57" s="17" t="s">
        <v>311</v>
      </c>
      <c r="B57" s="18" t="s">
        <v>312</v>
      </c>
      <c r="C57" s="6" t="s">
        <v>225</v>
      </c>
      <c r="D57" s="25">
        <v>0</v>
      </c>
      <c r="E57" s="25">
        <v>0</v>
      </c>
      <c r="F57" s="25">
        <v>75</v>
      </c>
      <c r="G57" s="56">
        <v>79.875</v>
      </c>
      <c r="H57" s="56">
        <v>77.85000000000001</v>
      </c>
      <c r="I57" s="56">
        <v>84.268125</v>
      </c>
      <c r="J57" s="56">
        <v>81.35325</v>
      </c>
      <c r="K57" s="56">
        <v>85.82767875</v>
      </c>
    </row>
    <row r="58" spans="1:11" ht="15">
      <c r="A58" s="17" t="s">
        <v>313</v>
      </c>
      <c r="B58" s="18" t="s">
        <v>314</v>
      </c>
      <c r="C58" s="6" t="s">
        <v>225</v>
      </c>
      <c r="D58" s="25">
        <v>0</v>
      </c>
      <c r="E58" s="25">
        <v>0</v>
      </c>
      <c r="F58" s="25">
        <v>0</v>
      </c>
      <c r="G58" s="56">
        <v>0</v>
      </c>
      <c r="H58" s="56"/>
      <c r="I58" s="56">
        <v>0</v>
      </c>
      <c r="J58" s="56"/>
      <c r="K58" s="56"/>
    </row>
    <row r="59" spans="1:11" ht="15">
      <c r="A59" s="17" t="s">
        <v>315</v>
      </c>
      <c r="B59" s="18" t="s">
        <v>316</v>
      </c>
      <c r="C59" s="6" t="s">
        <v>225</v>
      </c>
      <c r="D59" s="25">
        <v>0</v>
      </c>
      <c r="E59" s="25">
        <v>0</v>
      </c>
      <c r="F59" s="25">
        <v>0</v>
      </c>
      <c r="G59" s="56">
        <v>0</v>
      </c>
      <c r="H59" s="56"/>
      <c r="I59" s="56">
        <v>0</v>
      </c>
      <c r="J59" s="56"/>
      <c r="K59" s="56"/>
    </row>
    <row r="60" spans="1:11" ht="15">
      <c r="A60" s="17" t="s">
        <v>317</v>
      </c>
      <c r="B60" s="18" t="s">
        <v>318</v>
      </c>
      <c r="C60" s="6" t="s">
        <v>225</v>
      </c>
      <c r="D60" s="25">
        <v>463.16698999999994</v>
      </c>
      <c r="E60" s="25">
        <v>9.878359999999999</v>
      </c>
      <c r="F60" s="25">
        <v>80</v>
      </c>
      <c r="G60" s="56">
        <v>85.19999999999999</v>
      </c>
      <c r="H60" s="56">
        <v>83.04</v>
      </c>
      <c r="I60" s="56">
        <v>89.88599999999998</v>
      </c>
      <c r="J60" s="56">
        <v>86.7768</v>
      </c>
      <c r="K60" s="56">
        <v>91.54952399999999</v>
      </c>
    </row>
    <row r="61" spans="1:11" ht="15">
      <c r="A61" s="17" t="s">
        <v>319</v>
      </c>
      <c r="B61" s="18" t="s">
        <v>320</v>
      </c>
      <c r="C61" s="6" t="s">
        <v>225</v>
      </c>
      <c r="D61" s="25">
        <v>295.85537</v>
      </c>
      <c r="E61" s="25">
        <v>736.03591</v>
      </c>
      <c r="F61" s="25">
        <v>120</v>
      </c>
      <c r="G61" s="56">
        <v>127.8</v>
      </c>
      <c r="H61" s="56">
        <v>124.56</v>
      </c>
      <c r="I61" s="56">
        <v>134.82899999999998</v>
      </c>
      <c r="J61" s="56">
        <v>130.1652</v>
      </c>
      <c r="K61" s="56">
        <v>137.324286</v>
      </c>
    </row>
    <row r="62" spans="1:11" ht="15">
      <c r="A62" s="17" t="s">
        <v>321</v>
      </c>
      <c r="B62" s="18" t="s">
        <v>322</v>
      </c>
      <c r="C62" s="6" t="s">
        <v>225</v>
      </c>
      <c r="D62" s="25">
        <v>0</v>
      </c>
      <c r="E62" s="25">
        <v>0</v>
      </c>
      <c r="F62" s="25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22.5">
      <c r="A63" s="17" t="s">
        <v>323</v>
      </c>
      <c r="B63" s="18" t="s">
        <v>324</v>
      </c>
      <c r="C63" s="6" t="s">
        <v>225</v>
      </c>
      <c r="D63" s="25">
        <v>0</v>
      </c>
      <c r="E63" s="25">
        <v>0</v>
      </c>
      <c r="F63" s="25">
        <v>0</v>
      </c>
      <c r="G63" s="55"/>
      <c r="H63" s="55"/>
      <c r="I63" s="55"/>
      <c r="J63" s="55"/>
      <c r="K63" s="55"/>
    </row>
    <row r="64" spans="1:11" ht="15">
      <c r="A64" s="17" t="s">
        <v>325</v>
      </c>
      <c r="B64" s="18" t="s">
        <v>326</v>
      </c>
      <c r="C64" s="6" t="s">
        <v>225</v>
      </c>
      <c r="D64" s="25">
        <v>0</v>
      </c>
      <c r="E64" s="25">
        <v>0</v>
      </c>
      <c r="F64" s="25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</row>
    <row r="65" spans="1:11" ht="23.25" thickBot="1">
      <c r="A65" s="17" t="s">
        <v>327</v>
      </c>
      <c r="B65" s="20" t="s">
        <v>328</v>
      </c>
      <c r="C65" s="21" t="s">
        <v>225</v>
      </c>
      <c r="D65" s="27">
        <v>5296.40474</v>
      </c>
      <c r="E65" s="27">
        <v>5468.899944999956</v>
      </c>
      <c r="F65" s="54">
        <v>2293.768993</v>
      </c>
      <c r="G65" s="59">
        <v>2442.863977545</v>
      </c>
      <c r="H65" s="59">
        <v>2380.932214734</v>
      </c>
      <c r="I65" s="59">
        <v>2577.221496309975</v>
      </c>
      <c r="J65" s="59">
        <v>2488.07416439703</v>
      </c>
      <c r="K65" s="59">
        <v>2624.9182434388667</v>
      </c>
    </row>
    <row r="66" spans="1:11" ht="15.75" thickBot="1">
      <c r="A66" s="10" t="s">
        <v>329</v>
      </c>
      <c r="B66" s="22" t="s">
        <v>330</v>
      </c>
      <c r="C66" s="11" t="s">
        <v>225</v>
      </c>
      <c r="D66" s="27">
        <v>261443.03333999997</v>
      </c>
      <c r="E66" s="27">
        <v>273088.5386900001</v>
      </c>
      <c r="F66" s="27">
        <v>253478.53612209996</v>
      </c>
      <c r="G66" s="28">
        <v>298568.9869730072</v>
      </c>
      <c r="H66" s="28">
        <v>298694.4007289505</v>
      </c>
      <c r="I66" s="28">
        <v>340276.55852405936</v>
      </c>
      <c r="J66" s="28">
        <v>343393.07794321777</v>
      </c>
      <c r="K66" s="28">
        <v>372351.5908200947</v>
      </c>
    </row>
    <row r="68" spans="2:11" ht="15">
      <c r="B68" s="30" t="s">
        <v>332</v>
      </c>
      <c r="D68" s="31" t="e">
        <f>D18+D19+(D$2-D$13-D$18-D$19)*#REF!/#REF!</f>
        <v>#REF!</v>
      </c>
      <c r="E68" s="31" t="e">
        <f>E18+E19+(E$2-E$13-E$18-E$19-E$4)*#REF!/#REF!</f>
        <v>#REF!</v>
      </c>
      <c r="F68" s="31" t="e">
        <f>F18+F19+(F$2-F$13-F$18-F$19-F$4-F5-F6)*#REF!/#REF!</f>
        <v>#REF!</v>
      </c>
      <c r="G68" s="31" t="e">
        <f>G18+G19+(G$2-G$13-G$18-G$19-G$4-G5-G6)*#REF!/#REF!</f>
        <v>#REF!</v>
      </c>
      <c r="H68" s="31" t="e">
        <f>H18+H19+(H$2-H$13-H$18-H$19-H$4-H5-H6)*#REF!/#REF!</f>
        <v>#REF!</v>
      </c>
      <c r="I68" s="31" t="e">
        <f>I18+I19+(I$2-I$13-I$18-I$19-I$4-I5-I6)*#REF!/#REF!</f>
        <v>#REF!</v>
      </c>
      <c r="J68" s="31" t="e">
        <f>J18+J19+(J$2-J$13-J$18-J$19-J$4-J5-J6)*#REF!/#REF!</f>
        <v>#REF!</v>
      </c>
      <c r="K68" s="31" t="e">
        <f>K18+K19+(K$2-K$13-K$18-K$19-K$4-K5-K6)*#REF!/#REF!</f>
        <v>#REF!</v>
      </c>
    </row>
    <row r="69" spans="2:11" ht="15">
      <c r="B69" s="30" t="s">
        <v>333</v>
      </c>
      <c r="D69" s="31" t="e">
        <f>D13+(D$2-D$13-D$18-D$19)*#REF!/#REF!</f>
        <v>#REF!</v>
      </c>
      <c r="E69" s="31" t="e">
        <f>E13+E4+(E$2-E$13-E$18-E$19-E$4)*#REF!/#REF!</f>
        <v>#REF!</v>
      </c>
      <c r="F69" s="31" t="e">
        <f>F13+F4+F5+F6+(F$2-F$13-F$18-F$19-F$4-F5-F6)*#REF!/#REF!</f>
        <v>#REF!</v>
      </c>
      <c r="G69" s="31" t="e">
        <f>G13+G4+G5+G6+(G$2-G$13-G$18-G$19-G$4-G5-G6)*#REF!/#REF!</f>
        <v>#REF!</v>
      </c>
      <c r="H69" s="31" t="e">
        <f>H13+H4+H5+H6+(H$2-H$13-H$18-H$19-H$4-H5-H6)*#REF!/#REF!</f>
        <v>#REF!</v>
      </c>
      <c r="I69" s="31" t="e">
        <f>I13+I4+I5+I6+(I$2-I$13-I$18-I$19-I$4-I5-I6)*#REF!/#REF!</f>
        <v>#REF!</v>
      </c>
      <c r="J69" s="31" t="e">
        <f>J13+J4+J5+J6+(J$2-J$13-J$18-J$19-J$4-J5-J6)*#REF!/#REF!</f>
        <v>#REF!</v>
      </c>
      <c r="K69" s="31" t="e">
        <f>K13+K4+K5+K6+(K$2-K$13-K$18-K$19-K$4-K5-K6)*#REF!/#REF!</f>
        <v>#REF!</v>
      </c>
    </row>
    <row r="70" spans="2:11" ht="15">
      <c r="B70" s="30" t="s">
        <v>334</v>
      </c>
      <c r="D70" s="31" t="e">
        <f>D33+D39+(D$22-D$33-D$39-D$42)*#REF!/#REF!</f>
        <v>#REF!</v>
      </c>
      <c r="E70" s="31" t="e">
        <f>E33+E39+(E$22-E$33-E$39-E$42)*#REF!/#REF!</f>
        <v>#REF!</v>
      </c>
      <c r="F70" s="31" t="e">
        <f>F33+F39+(F$22-F$33-F$39-F$42)*#REF!/#REF!</f>
        <v>#REF!</v>
      </c>
      <c r="G70" s="31" t="e">
        <f>G33+G39+(G$22-G$33-G$39-G$42)*#REF!/#REF!</f>
        <v>#REF!</v>
      </c>
      <c r="H70" s="31" t="e">
        <f>H33+H39+(H$22-H$33-H$39-H$42)*#REF!/#REF!</f>
        <v>#REF!</v>
      </c>
      <c r="I70" s="31" t="e">
        <f>I33+I39+(I$22-I$33-I$39-I$42)*#REF!/#REF!</f>
        <v>#REF!</v>
      </c>
      <c r="J70" s="31" t="e">
        <f>J33+J39+(J$22-J$33-J$39-J$42)*#REF!/#REF!</f>
        <v>#REF!</v>
      </c>
      <c r="K70" s="31" t="e">
        <f>K33+K39+(K$22-K$33-K$39-K$42)*#REF!/#REF!</f>
        <v>#REF!</v>
      </c>
    </row>
    <row r="71" spans="2:11" ht="15">
      <c r="B71" s="30" t="s">
        <v>335</v>
      </c>
      <c r="D71" s="31" t="e">
        <f>D42+(D$22-D$33-D$39-D$42)*#REF!/#REF!</f>
        <v>#REF!</v>
      </c>
      <c r="E71" s="31" t="e">
        <f>E42+(E$22-E$33-E$39-E$42)*#REF!/#REF!</f>
        <v>#REF!</v>
      </c>
      <c r="F71" s="31" t="e">
        <f>F42+(F$22-F$33-F$39-F$42)*#REF!/#REF!</f>
        <v>#REF!</v>
      </c>
      <c r="G71" s="31" t="e">
        <f>G42+(G$22-G$33-G$39-G$42)*#REF!/#REF!</f>
        <v>#REF!</v>
      </c>
      <c r="H71" s="31" t="e">
        <f>H42+(H$22-H$33-H$39-H$42)*#REF!/#REF!</f>
        <v>#REF!</v>
      </c>
      <c r="I71" s="31" t="e">
        <f>I42+(I$22-I$33-I$39-I$42)*#REF!/#REF!</f>
        <v>#REF!</v>
      </c>
      <c r="J71" s="31" t="e">
        <f>J42+(J$22-J$33-J$39-J$42)*#REF!/#REF!</f>
        <v>#REF!</v>
      </c>
      <c r="K71" s="31" t="e">
        <f>K42+(K$22-K$33-K$39-K$42)*#REF!/#REF!</f>
        <v>#REF!</v>
      </c>
    </row>
    <row r="73" spans="2:11" ht="15">
      <c r="B73" s="30" t="s">
        <v>332</v>
      </c>
      <c r="D73" s="31" t="e">
        <f>D68/1000</f>
        <v>#REF!</v>
      </c>
      <c r="E73" s="31" t="e">
        <f>#N/A</f>
        <v>#N/A</v>
      </c>
      <c r="F73" s="31" t="e">
        <f>#N/A</f>
        <v>#N/A</v>
      </c>
      <c r="G73" s="31" t="e">
        <f>#N/A</f>
        <v>#N/A</v>
      </c>
      <c r="H73" s="31" t="e">
        <f>#N/A</f>
        <v>#N/A</v>
      </c>
      <c r="I73" s="31" t="e">
        <f>#N/A</f>
        <v>#N/A</v>
      </c>
      <c r="J73" s="31" t="e">
        <f>#N/A</f>
        <v>#N/A</v>
      </c>
      <c r="K73" s="31" t="e">
        <f>#N/A</f>
        <v>#N/A</v>
      </c>
    </row>
    <row r="74" spans="2:11" ht="15">
      <c r="B74" s="30" t="s">
        <v>333</v>
      </c>
      <c r="D74" s="31" t="e">
        <f>#N/A</f>
        <v>#N/A</v>
      </c>
      <c r="E74" s="31" t="e">
        <f>#N/A</f>
        <v>#N/A</v>
      </c>
      <c r="F74" s="31" t="e">
        <f>#N/A</f>
        <v>#N/A</v>
      </c>
      <c r="G74" s="31" t="e">
        <f>#N/A</f>
        <v>#N/A</v>
      </c>
      <c r="H74" s="31" t="e">
        <f>#N/A</f>
        <v>#N/A</v>
      </c>
      <c r="I74" s="31" t="e">
        <f>#N/A</f>
        <v>#N/A</v>
      </c>
      <c r="J74" s="31" t="e">
        <f>#N/A</f>
        <v>#N/A</v>
      </c>
      <c r="K74" s="31" t="e">
        <f>#N/A</f>
        <v>#N/A</v>
      </c>
    </row>
    <row r="75" spans="2:11" ht="15">
      <c r="B75" s="30" t="s">
        <v>334</v>
      </c>
      <c r="D75" s="31" t="e">
        <f>#N/A</f>
        <v>#N/A</v>
      </c>
      <c r="E75" s="31" t="e">
        <f>#N/A</f>
        <v>#N/A</v>
      </c>
      <c r="F75" s="31" t="e">
        <f>#N/A</f>
        <v>#N/A</v>
      </c>
      <c r="G75" s="31" t="e">
        <f>#N/A</f>
        <v>#N/A</v>
      </c>
      <c r="H75" s="31" t="e">
        <f>#N/A</f>
        <v>#N/A</v>
      </c>
      <c r="I75" s="31" t="e">
        <f>#N/A</f>
        <v>#N/A</v>
      </c>
      <c r="J75" s="31" t="e">
        <f>#N/A</f>
        <v>#N/A</v>
      </c>
      <c r="K75" s="31" t="e">
        <f>#N/A</f>
        <v>#N/A</v>
      </c>
    </row>
    <row r="76" spans="2:11" ht="15">
      <c r="B76" s="30" t="s">
        <v>335</v>
      </c>
      <c r="D76" s="31" t="e">
        <f>#N/A</f>
        <v>#N/A</v>
      </c>
      <c r="E76" s="31" t="e">
        <f>#N/A</f>
        <v>#N/A</v>
      </c>
      <c r="F76" s="31" t="e">
        <f>#N/A</f>
        <v>#N/A</v>
      </c>
      <c r="G76" s="31" t="e">
        <f>#N/A</f>
        <v>#N/A</v>
      </c>
      <c r="H76" s="31" t="e">
        <f>#N/A</f>
        <v>#N/A</v>
      </c>
      <c r="I76" s="31" t="e">
        <f>#N/A</f>
        <v>#N/A</v>
      </c>
      <c r="J76" s="31" t="e">
        <f>#N/A</f>
        <v>#N/A</v>
      </c>
      <c r="K76" s="31" t="e">
        <f>#N/A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4"/>
  <sheetViews>
    <sheetView zoomScalePageLayoutView="0" workbookViewId="0" topLeftCell="A1">
      <selection activeCell="O20" sqref="O20"/>
    </sheetView>
  </sheetViews>
  <sheetFormatPr defaultColWidth="9.140625" defaultRowHeight="15"/>
  <cols>
    <col min="2" max="2" width="68.140625" style="0" customWidth="1"/>
    <col min="3" max="7" width="14.8515625" style="0" customWidth="1"/>
  </cols>
  <sheetData>
    <row r="6" spans="1:7" ht="95.25" thickBot="1">
      <c r="A6" s="253" t="s">
        <v>636</v>
      </c>
      <c r="B6" s="253" t="s">
        <v>637</v>
      </c>
      <c r="C6" s="253" t="s">
        <v>638</v>
      </c>
      <c r="D6" s="253" t="s">
        <v>639</v>
      </c>
      <c r="E6" s="253" t="s">
        <v>640</v>
      </c>
      <c r="F6" s="253" t="s">
        <v>641</v>
      </c>
      <c r="G6" s="254" t="s">
        <v>642</v>
      </c>
    </row>
    <row r="7" spans="1:7" ht="16.5" thickBot="1">
      <c r="A7" s="255" t="s">
        <v>643</v>
      </c>
      <c r="B7" s="255" t="s">
        <v>644</v>
      </c>
      <c r="C7" s="256">
        <v>177804.3</v>
      </c>
      <c r="D7" s="256">
        <v>165103.2</v>
      </c>
      <c r="E7" s="256">
        <v>144082.3</v>
      </c>
      <c r="F7" s="256">
        <v>190896.9</v>
      </c>
      <c r="G7" s="256">
        <v>677886.9</v>
      </c>
    </row>
    <row r="8" spans="1:7" ht="16.5" thickBot="1">
      <c r="A8" s="257">
        <v>1</v>
      </c>
      <c r="B8" s="258" t="s">
        <v>645</v>
      </c>
      <c r="C8" s="256">
        <v>98373.3</v>
      </c>
      <c r="D8" s="256">
        <v>86029.1</v>
      </c>
      <c r="E8" s="256">
        <v>105465.3</v>
      </c>
      <c r="F8" s="256">
        <v>153072.9</v>
      </c>
      <c r="G8" s="256">
        <v>442940.6</v>
      </c>
    </row>
    <row r="9" spans="1:7" ht="16.5" thickBot="1">
      <c r="A9" s="255" t="s">
        <v>392</v>
      </c>
      <c r="B9" s="258" t="s">
        <v>646</v>
      </c>
      <c r="C9" s="256">
        <v>6997.5</v>
      </c>
      <c r="D9" s="256">
        <v>6172.9</v>
      </c>
      <c r="E9" s="256">
        <v>19737</v>
      </c>
      <c r="F9" s="256">
        <v>65231.7</v>
      </c>
      <c r="G9" s="256">
        <v>98139.2</v>
      </c>
    </row>
    <row r="10" spans="1:7" ht="32.25" thickBot="1">
      <c r="A10" s="255" t="s">
        <v>621</v>
      </c>
      <c r="B10" s="258" t="s">
        <v>350</v>
      </c>
      <c r="C10" s="259"/>
      <c r="D10" s="259"/>
      <c r="E10" s="259"/>
      <c r="F10" s="259"/>
      <c r="G10" s="256">
        <v>0</v>
      </c>
    </row>
    <row r="11" spans="1:7" ht="16.5" thickBot="1">
      <c r="A11" s="255" t="s">
        <v>622</v>
      </c>
      <c r="B11" s="258" t="s">
        <v>352</v>
      </c>
      <c r="C11" s="259"/>
      <c r="D11" s="259"/>
      <c r="E11" s="259"/>
      <c r="F11" s="259"/>
      <c r="G11" s="256">
        <v>0</v>
      </c>
    </row>
    <row r="12" spans="1:7" ht="16.5" thickBot="1">
      <c r="A12" s="255" t="s">
        <v>623</v>
      </c>
      <c r="B12" s="258" t="s">
        <v>647</v>
      </c>
      <c r="C12" s="259"/>
      <c r="D12" s="259"/>
      <c r="E12" s="259"/>
      <c r="F12" s="259"/>
      <c r="G12" s="256">
        <v>0</v>
      </c>
    </row>
    <row r="13" spans="1:7" ht="16.5" thickBot="1">
      <c r="A13" s="255" t="s">
        <v>624</v>
      </c>
      <c r="B13" s="258" t="s">
        <v>648</v>
      </c>
      <c r="C13" s="256">
        <v>6997.5</v>
      </c>
      <c r="D13" s="256">
        <v>6172.9</v>
      </c>
      <c r="E13" s="256">
        <v>19737</v>
      </c>
      <c r="F13" s="256">
        <v>65231.7</v>
      </c>
      <c r="G13" s="256">
        <v>98139.2</v>
      </c>
    </row>
    <row r="14" spans="1:7" ht="16.5" thickBot="1">
      <c r="A14" s="255"/>
      <c r="B14" s="258" t="s">
        <v>649</v>
      </c>
      <c r="C14" s="256">
        <v>6997.5</v>
      </c>
      <c r="D14" s="256">
        <v>6172.9</v>
      </c>
      <c r="E14" s="256">
        <v>19737</v>
      </c>
      <c r="F14" s="256">
        <v>49424.1</v>
      </c>
      <c r="G14" s="256">
        <v>82331.6</v>
      </c>
    </row>
    <row r="15" spans="1:7" ht="16.5" thickBot="1">
      <c r="A15" s="255"/>
      <c r="B15" s="258" t="s">
        <v>650</v>
      </c>
      <c r="C15" s="259"/>
      <c r="D15" s="259"/>
      <c r="E15" s="259"/>
      <c r="F15" s="256">
        <v>15807.6</v>
      </c>
      <c r="G15" s="256">
        <v>15807.6</v>
      </c>
    </row>
    <row r="16" spans="1:7" ht="16.5" thickBot="1">
      <c r="A16" s="255" t="s">
        <v>394</v>
      </c>
      <c r="B16" s="258" t="s">
        <v>651</v>
      </c>
      <c r="C16" s="256">
        <v>38021</v>
      </c>
      <c r="D16" s="256">
        <v>48757.9</v>
      </c>
      <c r="E16" s="256">
        <v>55334</v>
      </c>
      <c r="F16" s="256">
        <v>60440.2</v>
      </c>
      <c r="G16" s="256">
        <v>202553</v>
      </c>
    </row>
    <row r="17" spans="1:7" ht="32.25" thickBot="1">
      <c r="A17" s="255" t="s">
        <v>625</v>
      </c>
      <c r="B17" s="258" t="s">
        <v>474</v>
      </c>
      <c r="C17" s="259"/>
      <c r="D17" s="259"/>
      <c r="E17" s="259"/>
      <c r="F17" s="259"/>
      <c r="G17" s="256">
        <v>0</v>
      </c>
    </row>
    <row r="18" spans="1:7" ht="32.25" thickBot="1">
      <c r="A18" s="255" t="s">
        <v>626</v>
      </c>
      <c r="B18" s="262" t="s">
        <v>652</v>
      </c>
      <c r="C18" s="263">
        <v>37479.4</v>
      </c>
      <c r="D18" s="263">
        <v>48108.2</v>
      </c>
      <c r="E18" s="263">
        <v>54669.4</v>
      </c>
      <c r="F18" s="263">
        <v>59784</v>
      </c>
      <c r="G18" s="263">
        <v>200041</v>
      </c>
    </row>
    <row r="19" spans="1:7" ht="16.5" thickBot="1">
      <c r="A19" s="255"/>
      <c r="B19" s="262" t="s">
        <v>653</v>
      </c>
      <c r="C19" s="263">
        <v>24774.4</v>
      </c>
      <c r="D19" s="263">
        <v>28568.3</v>
      </c>
      <c r="E19" s="263">
        <v>30947.7</v>
      </c>
      <c r="F19" s="263">
        <v>30095.4</v>
      </c>
      <c r="G19" s="263">
        <v>114385.7</v>
      </c>
    </row>
    <row r="20" spans="1:7" ht="16.5" thickBot="1">
      <c r="A20" s="255"/>
      <c r="B20" s="262" t="s">
        <v>654</v>
      </c>
      <c r="C20" s="263">
        <v>12704.9</v>
      </c>
      <c r="D20" s="263">
        <v>19539.9</v>
      </c>
      <c r="E20" s="263">
        <v>23721.7</v>
      </c>
      <c r="F20" s="263">
        <v>29688.7</v>
      </c>
      <c r="G20" s="263">
        <v>85655.3</v>
      </c>
    </row>
    <row r="21" spans="1:7" ht="32.25" thickBot="1">
      <c r="A21" s="255" t="s">
        <v>627</v>
      </c>
      <c r="B21" s="258" t="s">
        <v>655</v>
      </c>
      <c r="C21" s="256">
        <v>541.6</v>
      </c>
      <c r="D21" s="256">
        <v>649.7</v>
      </c>
      <c r="E21" s="256">
        <v>664.5</v>
      </c>
      <c r="F21" s="256">
        <v>656.1</v>
      </c>
      <c r="G21" s="256">
        <v>2512</v>
      </c>
    </row>
    <row r="22" spans="1:7" ht="16.5" thickBot="1">
      <c r="A22" s="255" t="s">
        <v>656</v>
      </c>
      <c r="B22" s="258" t="s">
        <v>367</v>
      </c>
      <c r="C22" s="259"/>
      <c r="D22" s="260">
        <v>0</v>
      </c>
      <c r="E22" s="260">
        <v>0</v>
      </c>
      <c r="F22" s="260">
        <v>0</v>
      </c>
      <c r="G22" s="260">
        <v>0</v>
      </c>
    </row>
    <row r="23" spans="1:7" ht="16.5" thickBot="1">
      <c r="A23" s="255" t="s">
        <v>400</v>
      </c>
      <c r="B23" s="258" t="s">
        <v>368</v>
      </c>
      <c r="C23" s="264"/>
      <c r="D23" s="265"/>
      <c r="E23" s="265"/>
      <c r="F23" s="265"/>
      <c r="G23" s="266">
        <v>0</v>
      </c>
    </row>
    <row r="24" spans="1:7" ht="16.5" thickBot="1">
      <c r="A24" s="255" t="s">
        <v>628</v>
      </c>
      <c r="B24" s="258" t="s">
        <v>657</v>
      </c>
      <c r="C24" s="256">
        <v>53354.7</v>
      </c>
      <c r="D24" s="267">
        <v>31098.3</v>
      </c>
      <c r="E24" s="267">
        <v>30394.3</v>
      </c>
      <c r="F24" s="267">
        <v>27401</v>
      </c>
      <c r="G24" s="267">
        <v>142248.4</v>
      </c>
    </row>
    <row r="25" spans="1:7" ht="16.5" thickBot="1">
      <c r="A25" s="255" t="s">
        <v>221</v>
      </c>
      <c r="B25" s="258" t="s">
        <v>369</v>
      </c>
      <c r="C25" s="259"/>
      <c r="D25" s="259"/>
      <c r="E25" s="259"/>
      <c r="F25" s="259"/>
      <c r="G25" s="256">
        <v>0</v>
      </c>
    </row>
    <row r="26" spans="1:7" ht="16.5" thickBot="1">
      <c r="A26" s="255" t="s">
        <v>492</v>
      </c>
      <c r="B26" s="258" t="s">
        <v>658</v>
      </c>
      <c r="C26" s="256">
        <v>53354.7</v>
      </c>
      <c r="D26" s="256">
        <v>31098.3</v>
      </c>
      <c r="E26" s="256">
        <v>30394.3</v>
      </c>
      <c r="F26" s="256">
        <v>27401</v>
      </c>
      <c r="G26" s="256">
        <v>142248.4</v>
      </c>
    </row>
    <row r="27" spans="1:7" ht="16.5" thickBot="1">
      <c r="A27" s="255"/>
      <c r="B27" s="258" t="s">
        <v>659</v>
      </c>
      <c r="C27" s="256">
        <v>53354.7</v>
      </c>
      <c r="D27" s="256">
        <v>31098.3</v>
      </c>
      <c r="E27" s="256">
        <v>30394.3</v>
      </c>
      <c r="F27" s="256">
        <v>27401</v>
      </c>
      <c r="G27" s="256">
        <v>142248.4</v>
      </c>
    </row>
    <row r="28" spans="1:7" ht="16.5" thickBot="1">
      <c r="A28" s="255"/>
      <c r="B28" s="258" t="s">
        <v>660</v>
      </c>
      <c r="C28" s="256">
        <v>0</v>
      </c>
      <c r="D28" s="256">
        <v>0</v>
      </c>
      <c r="E28" s="256">
        <v>0</v>
      </c>
      <c r="F28" s="256">
        <v>0</v>
      </c>
      <c r="G28" s="256">
        <v>0</v>
      </c>
    </row>
    <row r="29" spans="1:7" ht="16.5" thickBot="1">
      <c r="A29" s="255" t="s">
        <v>661</v>
      </c>
      <c r="B29" s="258" t="s">
        <v>662</v>
      </c>
      <c r="C29" s="259"/>
      <c r="D29" s="259"/>
      <c r="E29" s="259"/>
      <c r="F29" s="259"/>
      <c r="G29" s="256">
        <v>0</v>
      </c>
    </row>
    <row r="30" spans="1:7" ht="16.5" thickBot="1">
      <c r="A30" s="255" t="s">
        <v>629</v>
      </c>
      <c r="B30" s="258" t="s">
        <v>370</v>
      </c>
      <c r="C30" s="259"/>
      <c r="D30" s="259"/>
      <c r="E30" s="259"/>
      <c r="F30" s="259"/>
      <c r="G30" s="256">
        <v>0</v>
      </c>
    </row>
    <row r="31" spans="1:7" ht="16.5" thickBot="1">
      <c r="A31" s="255" t="s">
        <v>663</v>
      </c>
      <c r="B31" s="258" t="s">
        <v>664</v>
      </c>
      <c r="C31" s="256">
        <v>79431.1</v>
      </c>
      <c r="D31" s="256">
        <v>79074.2</v>
      </c>
      <c r="E31" s="256">
        <v>38617</v>
      </c>
      <c r="F31" s="256">
        <v>37824</v>
      </c>
      <c r="G31" s="256">
        <v>234946.2</v>
      </c>
    </row>
    <row r="32" spans="1:7" ht="16.5" thickBot="1">
      <c r="A32" s="255" t="s">
        <v>421</v>
      </c>
      <c r="B32" s="258" t="s">
        <v>372</v>
      </c>
      <c r="C32" s="256">
        <v>55900.9</v>
      </c>
      <c r="D32" s="256">
        <v>40560.2</v>
      </c>
      <c r="E32" s="256">
        <v>0</v>
      </c>
      <c r="F32" s="256">
        <v>0</v>
      </c>
      <c r="G32" s="256">
        <v>96461.1</v>
      </c>
    </row>
    <row r="33" spans="1:7" ht="16.5" thickBot="1">
      <c r="A33" s="255" t="s">
        <v>630</v>
      </c>
      <c r="B33" s="258" t="s">
        <v>373</v>
      </c>
      <c r="C33" s="259"/>
      <c r="D33" s="259"/>
      <c r="E33" s="259"/>
      <c r="F33" s="259"/>
      <c r="G33" s="256">
        <v>0</v>
      </c>
    </row>
    <row r="34" spans="1:7" ht="16.5" thickBot="1">
      <c r="A34" s="255" t="s">
        <v>631</v>
      </c>
      <c r="B34" s="258" t="s">
        <v>374</v>
      </c>
      <c r="C34" s="259"/>
      <c r="D34" s="259"/>
      <c r="E34" s="259"/>
      <c r="F34" s="259"/>
      <c r="G34" s="256">
        <v>0</v>
      </c>
    </row>
    <row r="35" spans="1:7" ht="16.5" thickBot="1">
      <c r="A35" s="255" t="s">
        <v>632</v>
      </c>
      <c r="B35" s="258" t="s">
        <v>375</v>
      </c>
      <c r="C35" s="256">
        <v>23530.1</v>
      </c>
      <c r="D35" s="256">
        <v>38514</v>
      </c>
      <c r="E35" s="256">
        <v>38617</v>
      </c>
      <c r="F35" s="256">
        <v>37824</v>
      </c>
      <c r="G35" s="256">
        <v>138485.1</v>
      </c>
    </row>
    <row r="36" spans="1:7" ht="16.5" thickBot="1">
      <c r="A36" s="255"/>
      <c r="B36" s="258" t="s">
        <v>376</v>
      </c>
      <c r="C36" s="256">
        <v>23530.1</v>
      </c>
      <c r="D36" s="256">
        <v>38514</v>
      </c>
      <c r="E36" s="256">
        <v>38617</v>
      </c>
      <c r="F36" s="256">
        <v>37824</v>
      </c>
      <c r="G36" s="256">
        <v>138485.1</v>
      </c>
    </row>
    <row r="37" spans="1:7" ht="32.25" thickBot="1">
      <c r="A37" s="255"/>
      <c r="B37" s="258" t="s">
        <v>377</v>
      </c>
      <c r="C37" s="259"/>
      <c r="D37" s="259"/>
      <c r="E37" s="259"/>
      <c r="F37" s="259"/>
      <c r="G37" s="256">
        <v>0</v>
      </c>
    </row>
    <row r="38" spans="1:7" ht="16.5" thickBot="1">
      <c r="A38" s="255"/>
      <c r="B38" s="258" t="s">
        <v>378</v>
      </c>
      <c r="C38" s="259"/>
      <c r="D38" s="259"/>
      <c r="E38" s="259"/>
      <c r="F38" s="259"/>
      <c r="G38" s="256">
        <v>0</v>
      </c>
    </row>
    <row r="39" spans="1:7" ht="32.25" thickBot="1">
      <c r="A39" s="255"/>
      <c r="B39" s="261" t="s">
        <v>379</v>
      </c>
      <c r="C39" s="259"/>
      <c r="D39" s="259"/>
      <c r="E39" s="259"/>
      <c r="F39" s="259"/>
      <c r="G39" s="256">
        <v>0</v>
      </c>
    </row>
    <row r="40" spans="1:7" ht="16.5" thickBot="1">
      <c r="A40" s="255" t="s">
        <v>633</v>
      </c>
      <c r="B40" s="258" t="s">
        <v>380</v>
      </c>
      <c r="C40" s="259"/>
      <c r="D40" s="259"/>
      <c r="E40" s="259"/>
      <c r="F40" s="259"/>
      <c r="G40" s="256">
        <v>0</v>
      </c>
    </row>
    <row r="41" spans="1:7" ht="16.5" thickBot="1">
      <c r="A41" s="255" t="s">
        <v>634</v>
      </c>
      <c r="B41" s="258" t="s">
        <v>381</v>
      </c>
      <c r="C41" s="259"/>
      <c r="D41" s="259"/>
      <c r="E41" s="259"/>
      <c r="F41" s="259"/>
      <c r="G41" s="256">
        <v>0</v>
      </c>
    </row>
    <row r="42" spans="1:7" ht="16.5" thickBot="1">
      <c r="A42" s="255" t="s">
        <v>635</v>
      </c>
      <c r="B42" s="258" t="s">
        <v>382</v>
      </c>
      <c r="C42" s="259"/>
      <c r="D42" s="259"/>
      <c r="E42" s="259"/>
      <c r="F42" s="259"/>
      <c r="G42" s="256">
        <v>0</v>
      </c>
    </row>
    <row r="43" spans="1:7" ht="16.5" thickBot="1">
      <c r="A43" s="255" t="s">
        <v>665</v>
      </c>
      <c r="B43" s="258" t="s">
        <v>666</v>
      </c>
      <c r="C43" s="256">
        <v>177804.3</v>
      </c>
      <c r="D43" s="256">
        <v>165103.2</v>
      </c>
      <c r="E43" s="256">
        <v>144082.3</v>
      </c>
      <c r="F43" s="256">
        <v>190896.9</v>
      </c>
      <c r="G43" s="256">
        <v>677886.8</v>
      </c>
    </row>
    <row r="44" spans="1:7" ht="16.5" thickBot="1">
      <c r="A44" s="255" t="s">
        <v>667</v>
      </c>
      <c r="B44" s="258" t="s">
        <v>668</v>
      </c>
      <c r="C44" s="256">
        <v>0</v>
      </c>
      <c r="D44" s="256">
        <v>0</v>
      </c>
      <c r="E44" s="256">
        <v>0</v>
      </c>
      <c r="F44" s="256">
        <v>0</v>
      </c>
      <c r="G44" s="25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econtact02</dc:creator>
  <cp:keywords/>
  <dc:description/>
  <cp:lastModifiedBy>RePack by Diakov</cp:lastModifiedBy>
  <cp:lastPrinted>2020-04-08T14:35:34Z</cp:lastPrinted>
  <dcterms:created xsi:type="dcterms:W3CDTF">2015-09-16T07:43:55Z</dcterms:created>
  <dcterms:modified xsi:type="dcterms:W3CDTF">2020-07-06T08:48:14Z</dcterms:modified>
  <cp:category/>
  <cp:version/>
  <cp:contentType/>
  <cp:contentStatus/>
</cp:coreProperties>
</file>