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275" activeTab="2"/>
  </bookViews>
  <sheets>
    <sheet name="Прил 2" sheetId="13" r:id="rId1"/>
    <sheet name="Прил 3" sheetId="14" r:id="rId2"/>
    <sheet name="Прил 4" sheetId="12" r:id="rId3"/>
    <sheet name="Прил 5" sheetId="4" r:id="rId4"/>
    <sheet name="Прил 6" sheetId="5" r:id="rId5"/>
    <sheet name="Прил 7" sheetId="6" r:id="rId6"/>
    <sheet name="Прил 8 " sheetId="15" r:id="rId7"/>
    <sheet name="Прил 9" sheetId="16" r:id="rId8"/>
  </sheets>
  <definedNames>
    <definedName name="sub_3001" localSheetId="1">'Прил 3'!$A$18</definedName>
    <definedName name="sub_3002" localSheetId="1">'Прил 3'!$A$19</definedName>
    <definedName name="sub_3003" localSheetId="1">'Прил 3'!$A$20</definedName>
    <definedName name="sub_3004" localSheetId="1">'Прил 3'!$A$21</definedName>
    <definedName name="sub_3005" localSheetId="1">'Прил 3'!#REF!</definedName>
    <definedName name="sub_3006" localSheetId="1">'Прил 3'!#REF!</definedName>
    <definedName name="sub_3007" localSheetId="1">'Прил 3'!$A$22</definedName>
    <definedName name="sub_3008" localSheetId="1">'Прил 3'!$A$51</definedName>
    <definedName name="sub_333" localSheetId="1">'Прил 3'!$A$163</definedName>
    <definedName name="sub_4001" localSheetId="2">'Прил 4'!$A$9</definedName>
    <definedName name="sub_4002" localSheetId="2">'Прил 4'!$A$12</definedName>
    <definedName name="sub_4003" localSheetId="2">'Прил 4'!$A$13</definedName>
    <definedName name="sub_4004" localSheetId="2">'Прил 4'!$A$19</definedName>
    <definedName name="sub_4005" localSheetId="2">'Прил 4'!$A$22</definedName>
    <definedName name="sub_4006" localSheetId="2">'Прил 4'!$A$25</definedName>
    <definedName name="sub_444" localSheetId="2">'Прил 4'!$A$31</definedName>
    <definedName name="sub_5001" localSheetId="3">'Прил 5'!$A$11</definedName>
    <definedName name="sub_5002" localSheetId="3">'Прил 5'!$A$35</definedName>
    <definedName name="sub_5003" localSheetId="3">'Прил 5'!$A$36</definedName>
    <definedName name="sub_6001" localSheetId="4">'Прил 6'!$A$10</definedName>
    <definedName name="sub_6002" localSheetId="4">'Прил 6'!$A$11</definedName>
    <definedName name="sub_6003" localSheetId="4">'Прил 6'!$A$12</definedName>
    <definedName name="sub_7001" localSheetId="5">'Прил 7'!$A$2</definedName>
    <definedName name="sub_7002" localSheetId="5">'Прил 7'!$A$6</definedName>
    <definedName name="sub_8001" localSheetId="6">'Прил 8 '!$A$5</definedName>
    <definedName name="sub_8002" localSheetId="6">'Прил 8 '!#REF!</definedName>
    <definedName name="sub_8003" localSheetId="6">'Прил 8 '!$A$11</definedName>
    <definedName name="sub_8004" localSheetId="6">'Прил 8 '!$A$14</definedName>
    <definedName name="sub_8005" localSheetId="6">'Прил 8 '!$A$17</definedName>
    <definedName name="sub_8006" localSheetId="6">'Прил 8 '!$A$20</definedName>
    <definedName name="sub_881" localSheetId="6">'Прил 8 '!$A$31</definedName>
    <definedName name="sub_882" localSheetId="6">'Прил 8 '!$A$32</definedName>
    <definedName name="sub_9001" localSheetId="7">'Прил 9'!$A$12</definedName>
    <definedName name="sub_9002" localSheetId="7">'Прил 9'!$A$15</definedName>
    <definedName name="sub_9003" localSheetId="7">'Прил 9'!$A$18</definedName>
    <definedName name="sub_9004" localSheetId="7">'Прил 9'!$A$21</definedName>
    <definedName name="sub_9005" localSheetId="7">'Прил 9'!$A$24</definedName>
    <definedName name="sub_9006" localSheetId="7">'Прил 9'!$A$27</definedName>
    <definedName name="sub_991" localSheetId="7">'Прил 9'!$A$29</definedName>
    <definedName name="sub_992" localSheetId="7">'Прил 9'!$A$31</definedName>
    <definedName name="_xlnm.Print_Area" localSheetId="0">'Прил 2'!$A$1:$H$30</definedName>
    <definedName name="_xlnm.Print_Area" localSheetId="1">'Прил 3'!$A$1:$P$169</definedName>
    <definedName name="_xlnm.Print_Area" localSheetId="2">'Прил 4'!$A$1:$E$31</definedName>
    <definedName name="_xlnm.Print_Area" localSheetId="3">'Прил 5'!$A$1:$D$37</definedName>
    <definedName name="_xlnm.Print_Area" localSheetId="5">'Прил 7'!$A$1:$E$19</definedName>
    <definedName name="_xlnm.Print_Area" localSheetId="6">'Прил 8 '!$A$1:$K$33</definedName>
    <definedName name="_xlnm.Print_Area" localSheetId="7">'Прил 9'!$A$1:$H$41</definedName>
  </definedNames>
  <calcPr calcId="162913"/>
</workbook>
</file>

<file path=xl/calcChain.xml><?xml version="1.0" encoding="utf-8"?>
<calcChain xmlns="http://schemas.openxmlformats.org/spreadsheetml/2006/main">
  <c r="C21" i="12" l="1"/>
  <c r="C20" i="12"/>
  <c r="C19" i="12"/>
  <c r="D13" i="12"/>
  <c r="C13" i="12"/>
  <c r="C17" i="12"/>
  <c r="C15" i="12"/>
  <c r="C14" i="12"/>
  <c r="C11" i="12"/>
  <c r="C10" i="12"/>
  <c r="C9" i="12"/>
  <c r="M158" i="14" l="1"/>
  <c r="L158" i="14"/>
  <c r="G158" i="14"/>
  <c r="F158" i="14"/>
  <c r="M156" i="14"/>
  <c r="L156" i="14"/>
  <c r="G156" i="14"/>
  <c r="F156" i="14"/>
  <c r="M150" i="14"/>
  <c r="L150" i="14"/>
  <c r="G150" i="14"/>
  <c r="F150" i="14"/>
  <c r="M149" i="14"/>
  <c r="L149" i="14"/>
  <c r="G149" i="14"/>
  <c r="F149" i="14"/>
  <c r="M148" i="14"/>
  <c r="L148" i="14"/>
  <c r="M147" i="14"/>
  <c r="L147" i="14"/>
  <c r="G147" i="14"/>
  <c r="F147" i="14"/>
  <c r="M145" i="14"/>
  <c r="L145" i="14"/>
  <c r="G145" i="14"/>
  <c r="F145" i="14"/>
  <c r="M144" i="14"/>
  <c r="L144" i="14"/>
  <c r="G144" i="14"/>
  <c r="F144" i="14"/>
  <c r="M143" i="14"/>
  <c r="L143" i="14"/>
  <c r="G143" i="14"/>
  <c r="F143" i="14"/>
  <c r="M142" i="14"/>
  <c r="L142" i="14"/>
  <c r="G142" i="14"/>
  <c r="F142" i="14"/>
  <c r="M141" i="14"/>
  <c r="L141" i="14"/>
  <c r="G141" i="14"/>
  <c r="F141" i="14"/>
  <c r="M140" i="14"/>
  <c r="L140" i="14"/>
  <c r="G140" i="14"/>
  <c r="F140" i="14"/>
  <c r="M135" i="14"/>
  <c r="L135" i="14"/>
  <c r="G135" i="14"/>
  <c r="F135" i="14"/>
  <c r="M133" i="14"/>
  <c r="L133" i="14"/>
  <c r="G133" i="14"/>
  <c r="F133" i="14"/>
  <c r="M132" i="14"/>
  <c r="L132" i="14"/>
  <c r="G132" i="14"/>
  <c r="F132" i="14"/>
  <c r="M130" i="14"/>
  <c r="L130" i="14"/>
  <c r="G130" i="14"/>
  <c r="F130" i="14"/>
  <c r="M129" i="14"/>
  <c r="L129" i="14"/>
  <c r="G129" i="14"/>
  <c r="F129" i="14"/>
  <c r="P125" i="14"/>
  <c r="O125" i="14"/>
  <c r="J125" i="14"/>
  <c r="I125" i="14"/>
  <c r="P124" i="14"/>
  <c r="O124" i="14"/>
  <c r="J124" i="14"/>
  <c r="I124" i="14"/>
  <c r="P123" i="14"/>
  <c r="O123" i="14"/>
  <c r="J123" i="14"/>
  <c r="I123" i="14"/>
  <c r="P120" i="14"/>
  <c r="O120" i="14"/>
  <c r="J120" i="14"/>
  <c r="I120" i="14"/>
  <c r="P118" i="14"/>
  <c r="O118" i="14"/>
  <c r="J118" i="14"/>
  <c r="I118" i="14"/>
  <c r="P117" i="14"/>
  <c r="O117" i="14"/>
  <c r="J117" i="14"/>
  <c r="I117" i="14"/>
  <c r="P116" i="14"/>
  <c r="O116" i="14"/>
  <c r="J116" i="14"/>
  <c r="I116" i="14"/>
  <c r="P114" i="14"/>
  <c r="O114" i="14"/>
  <c r="J114" i="14"/>
  <c r="I114" i="14"/>
  <c r="P112" i="14"/>
  <c r="O112" i="14"/>
  <c r="J112" i="14"/>
  <c r="I112" i="14"/>
  <c r="P111" i="14"/>
  <c r="O111" i="14"/>
  <c r="J111" i="14"/>
  <c r="I111" i="14"/>
  <c r="P110" i="14"/>
  <c r="O110" i="14"/>
  <c r="J110" i="14"/>
  <c r="I110" i="14"/>
  <c r="P109" i="14"/>
  <c r="O109" i="14"/>
  <c r="J109" i="14"/>
  <c r="I109" i="14"/>
  <c r="P107" i="14"/>
  <c r="O107" i="14"/>
  <c r="J107" i="14"/>
  <c r="I107" i="14"/>
  <c r="P106" i="14"/>
  <c r="O106" i="14"/>
  <c r="J106" i="14"/>
  <c r="I106" i="14"/>
  <c r="P105" i="14"/>
  <c r="O105" i="14"/>
  <c r="J105" i="14"/>
  <c r="I105" i="14"/>
  <c r="P104" i="14"/>
  <c r="O104" i="14"/>
  <c r="J104" i="14"/>
  <c r="I104" i="14"/>
  <c r="P102" i="14"/>
  <c r="O102" i="14"/>
  <c r="J102" i="14"/>
  <c r="I102" i="14"/>
  <c r="P101" i="14"/>
  <c r="O101" i="14"/>
  <c r="J101" i="14"/>
  <c r="I101" i="14"/>
  <c r="P100" i="14"/>
  <c r="O100" i="14"/>
  <c r="J100" i="14"/>
  <c r="I100" i="14"/>
  <c r="P99" i="14"/>
  <c r="O99" i="14"/>
  <c r="J99" i="14"/>
  <c r="I99" i="14"/>
  <c r="P97" i="14"/>
  <c r="O97" i="14"/>
  <c r="J97" i="14"/>
  <c r="I97" i="14"/>
  <c r="P96" i="14"/>
  <c r="O96" i="14"/>
  <c r="J96" i="14"/>
  <c r="I96" i="14"/>
  <c r="P95" i="14"/>
  <c r="O95" i="14"/>
  <c r="J95" i="14"/>
  <c r="I95" i="14"/>
  <c r="M93" i="14"/>
  <c r="L93" i="14"/>
  <c r="G93" i="14"/>
  <c r="F93" i="14"/>
  <c r="M92" i="14"/>
  <c r="L92" i="14"/>
  <c r="G92" i="14"/>
  <c r="F92" i="14"/>
  <c r="M91" i="14"/>
  <c r="L91" i="14"/>
  <c r="G91" i="14"/>
  <c r="F91" i="14"/>
  <c r="M89" i="14"/>
  <c r="L89" i="14"/>
  <c r="G89" i="14"/>
  <c r="F89" i="14"/>
  <c r="M87" i="14"/>
  <c r="L87" i="14"/>
  <c r="G87" i="14"/>
  <c r="F87" i="14"/>
  <c r="M86" i="14"/>
  <c r="L86" i="14"/>
  <c r="G86" i="14"/>
  <c r="F86" i="14"/>
  <c r="M85" i="14"/>
  <c r="L85" i="14"/>
  <c r="G85" i="14"/>
  <c r="F85" i="14"/>
  <c r="M84" i="14"/>
  <c r="L84" i="14"/>
  <c r="G84" i="14"/>
  <c r="F84" i="14"/>
  <c r="M82" i="14"/>
  <c r="L82" i="14"/>
  <c r="G82" i="14"/>
  <c r="F82" i="14"/>
  <c r="M81" i="14"/>
  <c r="L81" i="14"/>
  <c r="G81" i="14"/>
  <c r="F81" i="14"/>
  <c r="M80" i="14"/>
  <c r="L80" i="14"/>
  <c r="G80" i="14"/>
  <c r="F80" i="14"/>
  <c r="M79" i="14"/>
  <c r="L79" i="14"/>
  <c r="G79" i="14"/>
  <c r="F79" i="14"/>
  <c r="M77" i="14"/>
  <c r="L77" i="14"/>
  <c r="G77" i="14"/>
  <c r="F77" i="14"/>
  <c r="M76" i="14"/>
  <c r="L76" i="14"/>
  <c r="M75" i="14"/>
  <c r="L75" i="14"/>
  <c r="G75" i="14"/>
  <c r="F75" i="14"/>
  <c r="M74" i="14"/>
  <c r="L74" i="14"/>
  <c r="G74" i="14"/>
  <c r="F74" i="14"/>
  <c r="M72" i="14"/>
  <c r="L72" i="14"/>
  <c r="G72" i="14"/>
  <c r="F72" i="14"/>
  <c r="M71" i="14"/>
  <c r="L71" i="14"/>
  <c r="G71" i="14"/>
  <c r="F71" i="14"/>
  <c r="M70" i="14"/>
  <c r="L70" i="14"/>
  <c r="G70" i="14"/>
  <c r="F70" i="14"/>
  <c r="P60" i="14"/>
  <c r="O60" i="14"/>
  <c r="J60" i="14"/>
  <c r="I60" i="14"/>
  <c r="P59" i="14"/>
  <c r="O59" i="14"/>
  <c r="J59" i="14"/>
  <c r="I59" i="14"/>
  <c r="P57" i="14"/>
  <c r="O57" i="14"/>
  <c r="J57" i="14"/>
  <c r="I57" i="14"/>
  <c r="P56" i="14"/>
  <c r="O56" i="14"/>
  <c r="J56" i="14"/>
  <c r="I56" i="14"/>
  <c r="P55" i="14"/>
  <c r="O55" i="14"/>
  <c r="J55" i="14"/>
  <c r="I55" i="14"/>
  <c r="P53" i="14"/>
  <c r="O53" i="14"/>
  <c r="J53" i="14"/>
  <c r="I53" i="14"/>
  <c r="P52" i="14"/>
  <c r="O52" i="14"/>
  <c r="J52" i="14"/>
  <c r="I52" i="14"/>
  <c r="P51" i="14"/>
  <c r="O51" i="14"/>
  <c r="J51" i="14"/>
  <c r="I51" i="14"/>
  <c r="P49" i="14"/>
  <c r="O49" i="14"/>
  <c r="J49" i="14"/>
  <c r="I49" i="14"/>
  <c r="P47" i="14"/>
  <c r="O47" i="14"/>
  <c r="J47" i="14"/>
  <c r="I47" i="14"/>
  <c r="P44" i="14"/>
  <c r="O44" i="14"/>
  <c r="J44" i="14"/>
  <c r="I44" i="14"/>
  <c r="P42" i="14"/>
  <c r="O42" i="14"/>
  <c r="J42" i="14"/>
  <c r="I42" i="14"/>
  <c r="P41" i="14"/>
  <c r="O41" i="14"/>
  <c r="J41" i="14"/>
  <c r="I41" i="14"/>
  <c r="M39" i="14"/>
  <c r="L39" i="14"/>
  <c r="G39" i="14"/>
  <c r="F39" i="14"/>
  <c r="M37" i="14"/>
  <c r="L37" i="14"/>
  <c r="G37" i="14"/>
  <c r="F37" i="14"/>
  <c r="M35" i="14"/>
  <c r="L35" i="14"/>
  <c r="G35" i="14"/>
  <c r="F35" i="14"/>
  <c r="M34" i="14"/>
  <c r="L34" i="14"/>
  <c r="G34" i="14"/>
  <c r="F34" i="14"/>
  <c r="M33" i="14"/>
  <c r="L33" i="14"/>
  <c r="G33" i="14"/>
  <c r="F33" i="14"/>
  <c r="M30" i="14"/>
  <c r="L30" i="14"/>
  <c r="M27" i="14"/>
  <c r="L27" i="14"/>
  <c r="G27" i="14"/>
  <c r="F27" i="14"/>
  <c r="M25" i="14"/>
  <c r="L25" i="14"/>
  <c r="G25" i="14"/>
  <c r="F25" i="14"/>
  <c r="M24" i="14"/>
  <c r="L24" i="14"/>
  <c r="G24" i="14"/>
  <c r="F24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E15" i="13"/>
  <c r="D37" i="4" l="1"/>
  <c r="C37" i="4"/>
</calcChain>
</file>

<file path=xl/sharedStrings.xml><?xml version="1.0" encoding="utf-8"?>
<sst xmlns="http://schemas.openxmlformats.org/spreadsheetml/2006/main" count="652" uniqueCount="220">
  <si>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</si>
  <si>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</si>
  <si>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</si>
  <si>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</si>
  <si>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</si>
  <si>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</si>
  <si>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</si>
  <si>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Приложение N 3</t>
  </si>
  <si>
    <t>на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</si>
  <si>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</si>
  <si>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</si>
  <si>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</si>
  <si>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</si>
  <si>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</si>
  <si>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</si>
  <si>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</si>
  <si>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</si>
  <si>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</si>
  <si>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</si>
  <si>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</si>
  <si>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Наименование стандартизированных тарифных ставок</t>
  </si>
  <si>
    <t>Стандартизированные тарифные ставки</t>
  </si>
  <si>
    <t>по постоянной схеме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</si>
  <si>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</si>
  <si>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*</t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</si>
  <si>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</si>
  <si>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</si>
  <si>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подстанций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</si>
  <si>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t>СТАНДАРТИЗИРОВАННЫЕ ТАРИФНЫЕ СТАВКИ</t>
  </si>
  <si>
    <t xml:space="preserve">           к территориальным распределительным сетям на уровне</t>
  </si>
  <si>
    <t xml:space="preserve">            напряжения ниже 35 кВ и присоединяемой мощностью</t>
  </si>
  <si>
    <t xml:space="preserve">                           (наименование сетевой организации)</t>
  </si>
  <si>
    <t xml:space="preserve">            для расчета платы за технологическое присоединение </t>
  </si>
  <si>
    <t>______________________________</t>
  </si>
  <si>
    <t>* Ставки платы</t>
  </si>
  <si>
    <t>,</t>
  </si>
  <si>
    <t xml:space="preserve"> и</t>
  </si>
  <si>
    <t xml:space="preserve">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</si>
  <si>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Наименование мероприятий</t>
  </si>
  <si>
    <t>Распределение необходимой валовой выручки*</t>
  </si>
  <si>
    <t>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</si>
  <si>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</si>
  <si>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</si>
  <si>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</si>
  <si>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</si>
  <si>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</si>
  <si>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</si>
  <si>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</si>
  <si>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</si>
  <si>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</si>
  <si>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</si>
  <si>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</si>
  <si>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</si>
  <si>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</si>
  <si>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</si>
  <si>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</si>
  <si>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</si>
  <si>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</si>
  <si>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</si>
  <si>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</si>
  <si>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</si>
  <si>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 осуществляемые при технологическом присоединении</t>
  </si>
  <si>
    <t>*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</si>
  <si>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Расчет
необходимой валовой выручки сетевой организации на технологическое присоединение</t>
  </si>
  <si>
    <t>(тыс. рублей)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</si>
  <si>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</si>
  <si>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</si>
  <si>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</si>
  <si>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</si>
  <si>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</si>
  <si>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</si>
  <si>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</si>
  <si>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</si>
  <si>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</si>
  <si>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</si>
  <si>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</si>
  <si>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</si>
  <si>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</si>
  <si>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</si>
  <si>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</si>
  <si>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</si>
  <si>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</t>
  </si>
  <si>
    <t>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</si>
  <si>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</si>
  <si>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</si>
  <si>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</si>
  <si>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</si>
  <si>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</si>
  <si>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</si>
  <si>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</si>
  <si>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</si>
  <si>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</si>
  <si>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</si>
  <si>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</si>
  <si>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</si>
  <si>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</si>
  <si>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</si>
  <si>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</si>
  <si>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 о присоединенных объемах максимальной мощности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</si>
  <si>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</si>
  <si>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</si>
  <si>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</si>
  <si>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</si>
  <si>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</si>
  <si>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</si>
  <si>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</si>
  <si>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</si>
  <si>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Фактические средние данные о длине линий электропередачи и об объемах максимальной мощности построенных объектов за 3 предыдущих года по каждому мероприятию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</si>
  <si>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</si>
  <si>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</si>
  <si>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</si>
  <si>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</si>
  <si>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</si>
  <si>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</si>
  <si>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</si>
  <si>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</si>
  <si>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</si>
  <si>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</si>
  <si>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</si>
  <si>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</si>
  <si>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</si>
  <si>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</si>
  <si>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</si>
  <si>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</si>
  <si>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</si>
  <si>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 xml:space="preserve">об осуществлении технологического присоединения по договорам, заключенным за текущий год
</t>
  </si>
  <si>
    <t>ИНФОРМАЦИЯ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</si>
  <si>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</si>
  <si>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</si>
  <si>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Приложение N 9</t>
  </si>
  <si>
    <t>о поданных заявках на технологическое присоединение за текущий год</t>
  </si>
  <si>
    <t>Приложение N 4</t>
  </si>
  <si>
    <t>Приложение N 5</t>
  </si>
  <si>
    <t>Приложение N 6</t>
  </si>
  <si>
    <t>Приложение N 7</t>
  </si>
  <si>
    <t>Приложение N 8</t>
  </si>
  <si>
    <t>х</t>
  </si>
  <si>
    <t>до 1 кВ (уровень напряжения)</t>
  </si>
  <si>
    <t>6 10 кВ (уровень напряжения)</t>
  </si>
  <si>
    <t>Единица измерения</t>
  </si>
  <si>
    <r>
      <t xml:space="preserve"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</t>
    </r>
    <r>
      <rPr>
        <b/>
        <sz val="12"/>
        <rFont val="Times New Roman"/>
        <family val="1"/>
        <charset val="204"/>
      </rPr>
      <t>пункте 16</t>
    </r>
    <r>
      <rPr>
        <sz val="12"/>
        <rFont val="Times New Roman"/>
        <family val="1"/>
        <charset val="204"/>
      </rPr>
      <t xml:space="preserve">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</t>
    </r>
    <r>
      <rPr>
        <b/>
        <sz val="12"/>
        <rFont val="Times New Roman"/>
        <family val="1"/>
        <charset val="204"/>
      </rPr>
      <t>подпунктов "б"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"в" пункта 16</t>
    </r>
    <r>
      <rPr>
        <sz val="12"/>
        <rFont val="Times New Roman"/>
        <family val="1"/>
        <charset val="204"/>
      </rPr>
      <t>, в расчете на 1 кВт максимальной мощности</t>
    </r>
  </si>
  <si>
    <t>не более 150 кВт</t>
  </si>
  <si>
    <t>руб. за одно присоединение</t>
  </si>
  <si>
    <r>
      <t xml:space="preserve">                            на </t>
    </r>
    <r>
      <rPr>
        <u/>
        <sz val="12"/>
        <color theme="1"/>
        <rFont val="Times New Roman"/>
        <family val="1"/>
        <charset val="204"/>
      </rPr>
      <t>2019</t>
    </r>
    <r>
      <rPr>
        <sz val="12"/>
        <color theme="1"/>
        <rFont val="Times New Roman"/>
        <family val="1"/>
        <charset val="204"/>
      </rPr>
      <t xml:space="preserve"> год</t>
    </r>
  </si>
  <si>
    <t>свыше 150 кВт на территориях городских населенных пунктов</t>
  </si>
  <si>
    <t>свыше 150 кВт на территориях не относящихся к территориям городских населенных пунктов</t>
  </si>
  <si>
    <t>Стандартизированная тарифная ставка на проверку сетевой организацией выполнения Заявителем технических условий (включая процедуры, предусмотренные подпунктами "г" - "е" пункта 7 Правил технологического присоединения)</t>
  </si>
  <si>
    <t>Прокладка ВЛ-0,4 изолированным проводом, алюминевый, деревянная опора</t>
  </si>
  <si>
    <t xml:space="preserve">сечение до 50 мм2 </t>
  </si>
  <si>
    <t>сечение от 50 до 100 мм2 включительно</t>
  </si>
  <si>
    <t>Прокладка ВЛ-0,4 неизолированным проводом, сталеалюминиевый, деревянная опора</t>
  </si>
  <si>
    <t>Прокладка ВЛ-0,4 неизолированным проводом, алюминиевый деревянная опора</t>
  </si>
  <si>
    <t>сечение до 50 мм2</t>
  </si>
  <si>
    <t>Прокладка ВЛ-0,4 изолированным проводом, алюминиевый, железобетонная опора</t>
  </si>
  <si>
    <t>сечение до 50 мм2 включительно</t>
  </si>
  <si>
    <t>сечение от 100 до 200 мм2 включительно</t>
  </si>
  <si>
    <t>Прокладка ВЛ-0,4 неизолированным проводом, сталеалюминиевый, железобетонная опора</t>
  </si>
  <si>
    <t>Прокладка ВЛ-0,4 неизолированным проводом, алюминиевый, железобетонная опора</t>
  </si>
  <si>
    <t>Прокладка ВЛ-6-10 изолированным проводом, алюминевый, деревянная опора</t>
  </si>
  <si>
    <t>Прокладка ВЛ-6-10  неизолированным проводом, сталеалюминиевый, деревянная опора</t>
  </si>
  <si>
    <t>Прокладка ВЛ-6-10 неизолированным проводом, алюминиевый деревянная опора</t>
  </si>
  <si>
    <t>Прокладка ВЛ-6-10 неизолированным проводом, сталеалюминиевый металлическая опора</t>
  </si>
  <si>
    <t>Прокладка ВЛ-6-10  изолированным проводом, алюминиевый, железобетонная опора</t>
  </si>
  <si>
    <t>Прокладка ВЛ-6-10 неизолированным проводом, сталеалюминиевый, железобетонная опора</t>
  </si>
  <si>
    <t>Прокладка ВЛ-6-10 неизолированным проводом, алюминиевый, железобетонная опора</t>
  </si>
  <si>
    <t>Прокладка ВЛ-35 неизолированным проводом, сталеалюминиевый железобетонная опора</t>
  </si>
  <si>
    <t>Прокладка ВЛ-110 неизолированным проводом, сталеалюминиевый металлическая опора</t>
  </si>
  <si>
    <t>Прокладка ВЛ-110 неизолированным проводом, сталеалюминиевый железобетонная опора</t>
  </si>
  <si>
    <t>Подземная прокладка в траншее КЛ-0,4 одножильные с резиновой и пластмассовой изоляцией</t>
  </si>
  <si>
    <t>сечение от 50 мм2 до 100 мм2 включительно</t>
  </si>
  <si>
    <t>сечение от 200 до 500 мм2 включительно</t>
  </si>
  <si>
    <t>Подземная прокладка в траншее КЛ-0,4 одножильные с бумажной изоляцией</t>
  </si>
  <si>
    <t>Подземная прокладка в траншее КЛ-0,4 многожильные с резиновой и пластмассовой изоляцией</t>
  </si>
  <si>
    <t>Подземная прокладка в траншее КЛ-0,4 многожильные с бумажной изоляцией</t>
  </si>
  <si>
    <t>Подземная прокладка в галереях и эстакадах КЛ-0,4 многожильные с резиновой и пластмассвой изоляцией</t>
  </si>
  <si>
    <t>Подземная прокладка горизонтальным наклонным бурением КЛ-0,4 многожильные с резиновой и пластмассовой изоляцией</t>
  </si>
  <si>
    <t>Подземная прокладка в траншее КЛ-6-10 одножильные с резиновой и пластмассовой изоляцией</t>
  </si>
  <si>
    <t>Подземная прокладка в траншее КЛ-6-10 одножильные с бумажной изоляцией</t>
  </si>
  <si>
    <t>Подземная прокладка в траншее КЛ-6-10 многожильные с резиновой и пластмассовой изоляцией</t>
  </si>
  <si>
    <t>Подземная прокладка в траншее КЛ-6-10 многожильные с бумажной изоляцией</t>
  </si>
  <si>
    <t>Подземная прокладка в галереях и эстакадах КЛ-6-10 одножильные с резиновой и пластмассвой изоляцией</t>
  </si>
  <si>
    <t>Подземная прокладка горизонтальным наклонным бурением КЛ-6-10 одножильные с резиновой и пластмассвой изоляцией</t>
  </si>
  <si>
    <t>Подземная прокладка горизонтальным наклонным бурением КЛ-6-10 многожильные с резиновой и пластмассовой изоляцией</t>
  </si>
  <si>
    <t>Подземная прокладка горизонтальным наклонным бурением КЛ-6-10 многожильные с бумажной изоляцией</t>
  </si>
  <si>
    <t>Ставка С4 (Стандартизированная тарифная ставка на покрытие расходов сетевой организации на строительство пунктов секционирования (реклоузеров, РП-распределительных пунктов, ПП-переключательных пунктов) тыс. руб./кВт)</t>
  </si>
  <si>
    <t>Реклоузеры 6-10 кВ</t>
  </si>
  <si>
    <t>Номинальный ток -от 250 А до 500 А включительно</t>
  </si>
  <si>
    <t>Номинальный ток -от 500 А до 1000 А включительно</t>
  </si>
  <si>
    <t>Распределитльные пункты 6-10 кВ</t>
  </si>
  <si>
    <t>Номинальный ток -от 100 А до 250 А включительно</t>
  </si>
  <si>
    <t>Разъединители 6-10 кВ</t>
  </si>
  <si>
    <t>Реклоузеры 35 кВ</t>
  </si>
  <si>
    <t>Ставка С5 (Стандартизированная тарифная ставка на покрытие расходов сетевой организации на строительство трансформаторных подстанций (ТП), за исключением РТП, с уровнем напряжения до 35 кВ тыс. руб./кВт)</t>
  </si>
  <si>
    <t xml:space="preserve">Однотрансформаторные подстанции (ТП) </t>
  </si>
  <si>
    <t>мощностью до 25 кВА включительно</t>
  </si>
  <si>
    <t>мощностью от 25 кВА до 100 кВа включительно</t>
  </si>
  <si>
    <t>мощностью от 100 кВА до 250 кВа включительно</t>
  </si>
  <si>
    <t>мощностью от 250 кВА до 500 кВа включительно</t>
  </si>
  <si>
    <t>мощностью от 500 кВА до 900 кВа включительно</t>
  </si>
  <si>
    <t>мощностью свыше 1 000 кВа</t>
  </si>
  <si>
    <t>Двухтрансформаторные и более подстанции (ТП)</t>
  </si>
  <si>
    <t>Ставка С5 (Стандартизированная тарифная ставка на покрытие расходов сетевой организации на строительство трансформаторных подстанций (ТП) 35/0,4, за исключением РТП</t>
  </si>
  <si>
    <t>Ставка С6 (Стандартизированная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</si>
  <si>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 xml:space="preserve">Однотрансформаторные распределительные подстанции (РТП) </t>
  </si>
  <si>
    <t xml:space="preserve">Двухтрансформаторные и более распределительные подстанции (РТП) </t>
  </si>
  <si>
    <t>Ставка С7 (Стандартизированная тарифная ставка на покрытие расходов сетевой организации на строительство подстанций уровнем напряжения 35 кВ и выше (ПС)</t>
  </si>
  <si>
    <t>мощностью 110 кВ и выше</t>
  </si>
  <si>
    <t>тыс. руб./км</t>
  </si>
  <si>
    <t>тыс. руб./шт</t>
  </si>
  <si>
    <t>тыс. руб./кВт</t>
  </si>
  <si>
    <t>2018 год</t>
  </si>
  <si>
    <t>2019 год</t>
  </si>
  <si>
    <t xml:space="preserve">Общество с ограниченной ответственностью "Продвижение"     </t>
  </si>
  <si>
    <t>Общество с ограниченной ответственностью "Продвижение"</t>
  </si>
  <si>
    <t>ООО "Продвижение"</t>
  </si>
  <si>
    <t>454071, РФ, г. Челябинск, ул. Героев Танкограда, д. 33, оф. 301</t>
  </si>
  <si>
    <t>Петров Евгений Сергеевич</t>
  </si>
  <si>
    <t>info@prodvizhenie174.ru</t>
  </si>
  <si>
    <t>8 (351) 724 18 35</t>
  </si>
  <si>
    <r>
      <t xml:space="preserve">           менее 8900 кВт </t>
    </r>
    <r>
      <rPr>
        <u/>
        <sz val="12"/>
        <color theme="1"/>
        <rFont val="Times New Roman"/>
        <family val="1"/>
        <charset val="204"/>
      </rPr>
      <t>Общество с ограниченной ответсвенностью "Продвижение"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</si>
</sst>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2" xfId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0" fontId="5" fillId="0" borderId="2" xfId="1" applyFont="1" applyBorder="1" applyAlignment="1" applyProtection="1">
      <alignment horizontal="center" vertical="top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2" fontId="4" fillId="0" borderId="0" xfId="0" applyNumberFormat="1" applyFont="1"/>
    <xf numFmtId="0" fontId="5" fillId="0" borderId="0" xfId="0" applyFont="1"/>
    <xf numFmtId="4" fontId="0" fillId="0" borderId="0" xfId="0" applyNumberFormat="1"/>
    <xf numFmtId="3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/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8" fillId="2" borderId="2" xfId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/>
    </xf>
    <xf numFmtId="0" fontId="0" fillId="2" borderId="0" xfId="0" applyFill="1"/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" fontId="4" fillId="0" borderId="2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3" xfId="0" applyFont="1" applyFill="1" applyBorder="1" applyAlignment="1"/>
    <xf numFmtId="0" fontId="5" fillId="2" borderId="9" xfId="0" applyFont="1" applyFill="1" applyBorder="1" applyAlignment="1"/>
    <xf numFmtId="0" fontId="5" fillId="2" borderId="3" xfId="1" applyFont="1" applyFill="1" applyBorder="1" applyAlignment="1" applyProtection="1">
      <alignment horizontal="left" vertical="top" wrapText="1"/>
    </xf>
    <xf numFmtId="0" fontId="5" fillId="2" borderId="9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1" applyFont="1" applyAlignment="1" applyProtection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justify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2" fontId="4" fillId="2" borderId="2" xfId="0" applyNumberFormat="1" applyFont="1" applyFill="1" applyBorder="1"/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171450</xdr:colOff>
      <xdr:row>18</xdr:row>
      <xdr:rowOff>190500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29250"/>
          <a:ext cx="1714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238125</xdr:colOff>
      <xdr:row>19</xdr:row>
      <xdr:rowOff>190500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238125</xdr:colOff>
      <xdr:row>20</xdr:row>
      <xdr:rowOff>190500</xdr:rowOff>
    </xdr:to>
    <xdr:pic>
      <xdr:nvPicPr>
        <xdr:cNvPr id="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34390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209550</xdr:colOff>
      <xdr:row>21</xdr:row>
      <xdr:rowOff>190500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210675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266700</xdr:colOff>
      <xdr:row>164</xdr:row>
      <xdr:rowOff>38100</xdr:rowOff>
    </xdr:to>
    <xdr:pic>
      <xdr:nvPicPr>
        <xdr:cNvPr id="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2987575"/>
          <a:ext cx="266700" cy="3333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266700</xdr:colOff>
      <xdr:row>165</xdr:row>
      <xdr:rowOff>38100</xdr:rowOff>
    </xdr:to>
    <xdr:pic>
      <xdr:nvPicPr>
        <xdr:cNvPr id="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3282850"/>
          <a:ext cx="266700" cy="2381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266700</xdr:colOff>
      <xdr:row>166</xdr:row>
      <xdr:rowOff>38100</xdr:rowOff>
    </xdr:to>
    <xdr:pic>
      <xdr:nvPicPr>
        <xdr:cNvPr id="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3482875"/>
          <a:ext cx="266700" cy="2381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266700</xdr:colOff>
      <xdr:row>166</xdr:row>
      <xdr:rowOff>38100</xdr:rowOff>
    </xdr:to>
    <xdr:pic>
      <xdr:nvPicPr>
        <xdr:cNvPr id="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3482875"/>
          <a:ext cx="266700" cy="2381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209550</xdr:colOff>
      <xdr:row>67</xdr:row>
      <xdr:rowOff>190500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259330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209550</xdr:colOff>
      <xdr:row>125</xdr:row>
      <xdr:rowOff>190500</xdr:rowOff>
    </xdr:to>
    <xdr:pic>
      <xdr:nvPicPr>
        <xdr:cNvPr id="1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0081200"/>
          <a:ext cx="209550" cy="190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dvizhenie174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garantf1://70129430.1100/" TargetMode="External"/><Relationship Id="rId2" Type="http://schemas.openxmlformats.org/officeDocument/2006/relationships/hyperlink" Target="garantf1://70129430.1100/" TargetMode="External"/><Relationship Id="rId1" Type="http://schemas.openxmlformats.org/officeDocument/2006/relationships/hyperlink" Target="garantf1://70129430.1100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garantf1://70129430.110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garantf1://70129430.11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zoomScaleNormal="100" zoomScaleSheetLayoutView="100" workbookViewId="0">
      <selection activeCell="E27" sqref="E27:H27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6"/>
      <c r="B1" s="6"/>
      <c r="C1" s="6"/>
      <c r="D1" s="6"/>
      <c r="E1" s="6"/>
      <c r="F1" s="6"/>
      <c r="G1" s="6"/>
      <c r="H1" s="7" t="s">
        <v>0</v>
      </c>
    </row>
    <row r="2" spans="1:8" ht="15.75" x14ac:dyDescent="0.25">
      <c r="A2" s="6"/>
      <c r="B2" s="6"/>
      <c r="C2" s="6"/>
      <c r="D2" s="6"/>
      <c r="E2" s="6"/>
      <c r="F2" s="6"/>
      <c r="G2" s="6"/>
      <c r="H2" s="8" t="s">
        <v>1</v>
      </c>
    </row>
    <row r="3" spans="1:8" ht="15.75" x14ac:dyDescent="0.25">
      <c r="A3" s="6"/>
      <c r="B3" s="6"/>
      <c r="C3" s="6"/>
      <c r="D3" s="6"/>
      <c r="E3" s="6"/>
      <c r="F3" s="6"/>
      <c r="G3" s="6"/>
      <c r="H3" s="7" t="s">
        <v>2</v>
      </c>
    </row>
    <row r="4" spans="1:8" ht="15.75" x14ac:dyDescent="0.25">
      <c r="A4" s="6"/>
      <c r="B4" s="6"/>
      <c r="C4" s="6"/>
      <c r="D4" s="6"/>
      <c r="E4" s="6"/>
      <c r="F4" s="6"/>
      <c r="G4" s="6"/>
      <c r="H4" s="7" t="s">
        <v>3</v>
      </c>
    </row>
    <row r="5" spans="1:8" ht="15.75" x14ac:dyDescent="0.25">
      <c r="A5" s="6"/>
      <c r="B5" s="6"/>
      <c r="C5" s="6"/>
      <c r="D5" s="6"/>
      <c r="E5" s="6"/>
      <c r="F5" s="6"/>
      <c r="G5" s="6"/>
      <c r="H5" s="6"/>
    </row>
    <row r="6" spans="1:8" ht="15.75" x14ac:dyDescent="0.25">
      <c r="A6" s="6" t="s">
        <v>4</v>
      </c>
      <c r="B6" s="6"/>
      <c r="C6" s="6"/>
      <c r="D6" s="6"/>
      <c r="E6" s="6"/>
      <c r="F6" s="6"/>
      <c r="G6" s="6"/>
      <c r="H6" s="6"/>
    </row>
    <row r="7" spans="1:8" ht="15.75" x14ac:dyDescent="0.25">
      <c r="A7" s="6" t="s">
        <v>5</v>
      </c>
      <c r="B7" s="6"/>
      <c r="C7" s="6"/>
      <c r="D7" s="6"/>
      <c r="E7" s="6"/>
      <c r="F7" s="6"/>
      <c r="G7" s="6"/>
      <c r="H7" s="6"/>
    </row>
    <row r="8" spans="1:8" ht="29.25" customHeight="1" x14ac:dyDescent="0.25">
      <c r="A8" s="56" t="s">
        <v>212</v>
      </c>
      <c r="B8" s="56"/>
      <c r="C8" s="56"/>
      <c r="D8" s="56"/>
      <c r="E8" s="56"/>
      <c r="F8" s="43" t="s">
        <v>8</v>
      </c>
      <c r="G8" s="9">
        <v>2019</v>
      </c>
      <c r="H8" s="6" t="s">
        <v>9</v>
      </c>
    </row>
    <row r="9" spans="1:8" ht="15.75" x14ac:dyDescent="0.25">
      <c r="A9" s="6" t="s">
        <v>6</v>
      </c>
      <c r="B9" s="6"/>
      <c r="C9" s="6"/>
      <c r="D9" s="6"/>
      <c r="E9" s="6"/>
      <c r="F9" s="6"/>
      <c r="G9" s="6"/>
      <c r="H9" s="6"/>
    </row>
    <row r="10" spans="1:8" ht="15.75" x14ac:dyDescent="0.25">
      <c r="A10" s="6"/>
      <c r="B10" s="6"/>
      <c r="C10" s="6"/>
      <c r="D10" s="6"/>
      <c r="E10" s="6"/>
      <c r="F10" s="6"/>
      <c r="G10" s="6"/>
      <c r="H10" s="6"/>
    </row>
    <row r="11" spans="1:8" ht="15.75" x14ac:dyDescent="0.25">
      <c r="A11" s="54" t="s">
        <v>10</v>
      </c>
      <c r="B11" s="54"/>
      <c r="C11" s="54"/>
      <c r="D11" s="54"/>
      <c r="E11" s="55" t="s">
        <v>213</v>
      </c>
      <c r="F11" s="55"/>
      <c r="G11" s="55"/>
      <c r="H11" s="55"/>
    </row>
    <row r="12" spans="1:8" ht="15.75" x14ac:dyDescent="0.25">
      <c r="A12" s="40"/>
      <c r="B12" s="40"/>
      <c r="C12" s="40"/>
      <c r="D12" s="40"/>
      <c r="E12" s="40"/>
      <c r="F12" s="40"/>
      <c r="G12" s="40"/>
      <c r="H12" s="40"/>
    </row>
    <row r="13" spans="1:8" ht="15.75" x14ac:dyDescent="0.25">
      <c r="A13" s="54" t="s">
        <v>11</v>
      </c>
      <c r="B13" s="54"/>
      <c r="C13" s="54"/>
      <c r="D13" s="54"/>
      <c r="E13" s="55" t="s">
        <v>214</v>
      </c>
      <c r="F13" s="55"/>
      <c r="G13" s="55"/>
      <c r="H13" s="55"/>
    </row>
    <row r="14" spans="1:8" ht="15.75" x14ac:dyDescent="0.25">
      <c r="A14" s="6"/>
      <c r="B14" s="6"/>
      <c r="C14" s="6"/>
      <c r="D14" s="6"/>
      <c r="E14" s="40"/>
      <c r="F14" s="40"/>
      <c r="G14" s="40"/>
      <c r="H14" s="40"/>
    </row>
    <row r="15" spans="1:8" ht="15.75" x14ac:dyDescent="0.25">
      <c r="A15" s="54" t="s">
        <v>12</v>
      </c>
      <c r="B15" s="54"/>
      <c r="C15" s="54"/>
      <c r="D15" s="54"/>
      <c r="E15" s="55" t="str">
        <f>E17</f>
        <v>454071, РФ, г. Челябинск, ул. Героев Танкограда, д. 33, оф. 301</v>
      </c>
      <c r="F15" s="55"/>
      <c r="G15" s="55"/>
      <c r="H15" s="55"/>
    </row>
    <row r="16" spans="1:8" ht="15.75" x14ac:dyDescent="0.25">
      <c r="A16" s="40"/>
      <c r="B16" s="40"/>
      <c r="C16" s="40"/>
      <c r="D16" s="40"/>
      <c r="E16" s="40"/>
      <c r="F16" s="40"/>
      <c r="G16" s="40"/>
      <c r="H16" s="40"/>
    </row>
    <row r="17" spans="1:8" ht="15.75" x14ac:dyDescent="0.25">
      <c r="A17" s="54" t="s">
        <v>13</v>
      </c>
      <c r="B17" s="54"/>
      <c r="C17" s="54"/>
      <c r="D17" s="54"/>
      <c r="E17" s="55" t="s">
        <v>215</v>
      </c>
      <c r="F17" s="55"/>
      <c r="G17" s="55"/>
      <c r="H17" s="55"/>
    </row>
    <row r="18" spans="1:8" ht="15.75" x14ac:dyDescent="0.25">
      <c r="A18" s="40"/>
      <c r="B18" s="40"/>
      <c r="C18" s="40"/>
      <c r="D18" s="40"/>
      <c r="E18" s="40"/>
      <c r="F18" s="40"/>
      <c r="G18" s="40"/>
      <c r="H18" s="40"/>
    </row>
    <row r="19" spans="1:8" ht="15.75" x14ac:dyDescent="0.25">
      <c r="A19" s="54" t="s">
        <v>19</v>
      </c>
      <c r="B19" s="54"/>
      <c r="C19" s="54"/>
      <c r="D19" s="54"/>
      <c r="E19" s="55">
        <v>7448144640</v>
      </c>
      <c r="F19" s="55"/>
      <c r="G19" s="55"/>
      <c r="H19" s="55"/>
    </row>
    <row r="20" spans="1:8" ht="15.75" x14ac:dyDescent="0.25">
      <c r="A20" s="40"/>
      <c r="B20" s="40"/>
      <c r="C20" s="40"/>
      <c r="D20" s="40"/>
      <c r="E20" s="40"/>
      <c r="F20" s="40"/>
      <c r="G20" s="40"/>
      <c r="H20" s="40"/>
    </row>
    <row r="21" spans="1:8" ht="15.75" x14ac:dyDescent="0.25">
      <c r="A21" s="54" t="s">
        <v>18</v>
      </c>
      <c r="B21" s="54"/>
      <c r="C21" s="54"/>
      <c r="D21" s="54"/>
      <c r="E21" s="55">
        <v>745201001</v>
      </c>
      <c r="F21" s="55"/>
      <c r="G21" s="55"/>
      <c r="H21" s="55"/>
    </row>
    <row r="22" spans="1:8" ht="15.75" x14ac:dyDescent="0.25">
      <c r="A22" s="40"/>
      <c r="B22" s="40"/>
      <c r="C22" s="40"/>
      <c r="D22" s="40"/>
      <c r="E22" s="40"/>
      <c r="F22" s="40"/>
      <c r="G22" s="40"/>
      <c r="H22" s="40"/>
    </row>
    <row r="23" spans="1:8" ht="15.75" x14ac:dyDescent="0.25">
      <c r="A23" s="54" t="s">
        <v>17</v>
      </c>
      <c r="B23" s="54"/>
      <c r="C23" s="54"/>
      <c r="D23" s="54"/>
      <c r="E23" s="55" t="s">
        <v>216</v>
      </c>
      <c r="F23" s="55"/>
      <c r="G23" s="55"/>
      <c r="H23" s="55"/>
    </row>
    <row r="24" spans="1:8" ht="15.75" x14ac:dyDescent="0.25">
      <c r="A24" s="40"/>
      <c r="B24" s="40"/>
      <c r="C24" s="40"/>
      <c r="D24" s="40"/>
      <c r="E24" s="40"/>
      <c r="F24" s="40"/>
      <c r="G24" s="40"/>
      <c r="H24" s="40"/>
    </row>
    <row r="25" spans="1:8" ht="15.75" x14ac:dyDescent="0.25">
      <c r="A25" s="54" t="s">
        <v>16</v>
      </c>
      <c r="B25" s="54"/>
      <c r="C25" s="54"/>
      <c r="D25" s="54"/>
      <c r="E25" s="55" t="s">
        <v>217</v>
      </c>
      <c r="F25" s="55"/>
      <c r="G25" s="55"/>
      <c r="H25" s="55"/>
    </row>
    <row r="26" spans="1:8" ht="15.75" x14ac:dyDescent="0.25">
      <c r="A26" s="40"/>
      <c r="B26" s="40"/>
      <c r="C26" s="40"/>
      <c r="D26" s="40"/>
      <c r="E26" s="40"/>
      <c r="F26" s="40"/>
      <c r="G26" s="40"/>
      <c r="H26" s="40"/>
    </row>
    <row r="27" spans="1:8" ht="15.75" x14ac:dyDescent="0.25">
      <c r="A27" s="54" t="s">
        <v>15</v>
      </c>
      <c r="B27" s="54"/>
      <c r="C27" s="54"/>
      <c r="D27" s="54"/>
      <c r="E27" s="55" t="s">
        <v>218</v>
      </c>
      <c r="F27" s="55"/>
      <c r="G27" s="55"/>
      <c r="H27" s="55"/>
    </row>
    <row r="28" spans="1:8" ht="15.75" x14ac:dyDescent="0.25">
      <c r="A28" s="40"/>
      <c r="B28" s="40"/>
      <c r="C28" s="40"/>
      <c r="D28" s="40"/>
      <c r="E28" s="40"/>
      <c r="F28" s="40"/>
      <c r="G28" s="40"/>
      <c r="H28" s="40"/>
    </row>
    <row r="29" spans="1:8" ht="15.75" x14ac:dyDescent="0.25">
      <c r="A29" s="54" t="s">
        <v>14</v>
      </c>
      <c r="B29" s="54"/>
      <c r="C29" s="54"/>
      <c r="D29" s="54"/>
      <c r="E29" s="55" t="s">
        <v>218</v>
      </c>
      <c r="F29" s="55"/>
      <c r="G29" s="55"/>
      <c r="H29" s="55"/>
    </row>
    <row r="30" spans="1:8" ht="15.75" x14ac:dyDescent="0.25">
      <c r="A30" s="6"/>
      <c r="B30" s="6"/>
      <c r="C30" s="6"/>
      <c r="D30" s="6"/>
      <c r="E30" s="6"/>
      <c r="F30" s="6"/>
      <c r="G30" s="6"/>
      <c r="H30" s="6"/>
    </row>
    <row r="36" spans="8:8" x14ac:dyDescent="0.25">
      <c r="H36" s="2"/>
    </row>
    <row r="37" spans="8:8" x14ac:dyDescent="0.25">
      <c r="H37" s="3"/>
    </row>
    <row r="38" spans="8:8" x14ac:dyDescent="0.25">
      <c r="H38" s="2"/>
    </row>
    <row r="39" spans="8:8" x14ac:dyDescent="0.25">
      <c r="H39" s="2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169"/>
  <sheetViews>
    <sheetView view="pageBreakPreview" topLeftCell="A139" zoomScale="70" zoomScaleNormal="100" zoomScaleSheetLayoutView="70" workbookViewId="0">
      <selection activeCell="I19" sqref="I19"/>
    </sheetView>
  </sheetViews>
  <sheetFormatPr defaultRowHeight="15" x14ac:dyDescent="0.25"/>
  <cols>
    <col min="2" max="2" width="44.5703125" style="1" customWidth="1"/>
    <col min="3" max="3" width="6.7109375" style="1" customWidth="1"/>
    <col min="4" max="4" width="17.28515625" customWidth="1"/>
    <col min="5" max="5" width="18" customWidth="1"/>
    <col min="6" max="7" width="16.140625" customWidth="1"/>
    <col min="8" max="9" width="17.42578125" customWidth="1"/>
    <col min="10" max="10" width="16.140625" customWidth="1"/>
    <col min="11" max="12" width="18" customWidth="1"/>
    <col min="13" max="16" width="16.140625" customWidth="1"/>
    <col min="17" max="17" width="18" customWidth="1"/>
    <col min="18" max="18" width="16.140625" customWidth="1"/>
    <col min="19" max="19" width="17.42578125" customWidth="1"/>
    <col min="20" max="20" width="16.140625" customWidth="1"/>
    <col min="21" max="21" width="18" customWidth="1"/>
    <col min="22" max="24" width="16.140625" customWidth="1"/>
    <col min="25" max="25" width="10.42578125" customWidth="1"/>
    <col min="26" max="26" width="11.42578125" customWidth="1"/>
    <col min="27" max="27" width="10.7109375" customWidth="1"/>
    <col min="28" max="28" width="12.5703125" customWidth="1"/>
  </cols>
  <sheetData>
    <row r="1" spans="1:28" ht="15.75" x14ac:dyDescent="0.25">
      <c r="A1" s="6"/>
      <c r="B1" s="16"/>
      <c r="C1" s="1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">
        <v>7</v>
      </c>
      <c r="Q1" s="6"/>
      <c r="R1" s="6"/>
      <c r="S1" s="6"/>
      <c r="T1" s="6"/>
      <c r="U1" s="6"/>
      <c r="V1" s="6"/>
      <c r="W1" s="6"/>
      <c r="X1" s="7" t="s">
        <v>7</v>
      </c>
    </row>
    <row r="2" spans="1:28" ht="15.75" x14ac:dyDescent="0.25">
      <c r="A2" s="6"/>
      <c r="B2" s="16"/>
      <c r="C2" s="1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1</v>
      </c>
      <c r="Q2" s="6"/>
      <c r="R2" s="6"/>
      <c r="S2" s="6"/>
      <c r="T2" s="6"/>
      <c r="U2" s="6"/>
      <c r="V2" s="6"/>
      <c r="W2" s="6"/>
      <c r="X2" s="8" t="s">
        <v>1</v>
      </c>
    </row>
    <row r="3" spans="1:28" ht="15.75" x14ac:dyDescent="0.25">
      <c r="A3" s="6"/>
      <c r="B3" s="16"/>
      <c r="C3" s="1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2</v>
      </c>
      <c r="Q3" s="6"/>
      <c r="R3" s="6"/>
      <c r="S3" s="6"/>
      <c r="T3" s="6"/>
      <c r="U3" s="6"/>
      <c r="V3" s="6"/>
      <c r="W3" s="6"/>
      <c r="X3" s="7" t="s">
        <v>2</v>
      </c>
    </row>
    <row r="4" spans="1:28" ht="15.75" x14ac:dyDescent="0.25">
      <c r="A4" s="6"/>
      <c r="B4" s="16"/>
      <c r="C4" s="16"/>
      <c r="D4" s="6"/>
      <c r="E4" s="6"/>
      <c r="F4" s="6"/>
      <c r="G4" s="6"/>
      <c r="H4" s="6"/>
      <c r="I4" s="6"/>
      <c r="J4" s="6"/>
      <c r="K4" s="16"/>
      <c r="L4" s="16"/>
      <c r="M4" s="16"/>
      <c r="N4" s="16"/>
      <c r="O4" s="16"/>
      <c r="P4" s="7" t="s">
        <v>3</v>
      </c>
      <c r="Q4" s="6"/>
      <c r="R4" s="6"/>
      <c r="S4" s="6"/>
      <c r="T4" s="6"/>
      <c r="U4" s="16"/>
      <c r="V4" s="16"/>
      <c r="W4" s="16"/>
      <c r="X4" s="7" t="s">
        <v>3</v>
      </c>
    </row>
    <row r="5" spans="1:28" ht="15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28" ht="15.75" x14ac:dyDescent="0.25">
      <c r="A6" s="42"/>
      <c r="B6" s="58" t="s">
        <v>28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3"/>
      <c r="P6" s="6"/>
      <c r="X6" s="6"/>
    </row>
    <row r="7" spans="1:28" ht="15.75" x14ac:dyDescent="0.25">
      <c r="A7" s="42"/>
      <c r="B7" s="58" t="s">
        <v>32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43"/>
      <c r="P7" s="6"/>
      <c r="X7" s="6"/>
    </row>
    <row r="8" spans="1:28" ht="15.75" x14ac:dyDescent="0.25">
      <c r="A8" s="42"/>
      <c r="B8" s="58" t="s">
        <v>29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43"/>
      <c r="P8" s="6"/>
      <c r="S8" s="7"/>
      <c r="X8" s="6"/>
    </row>
    <row r="9" spans="1:28" ht="15.75" x14ac:dyDescent="0.25">
      <c r="A9" s="42"/>
      <c r="B9" s="58" t="s">
        <v>30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43"/>
      <c r="P9" s="6"/>
      <c r="S9" s="8"/>
      <c r="X9" s="6"/>
    </row>
    <row r="10" spans="1:28" ht="15.75" x14ac:dyDescent="0.25">
      <c r="A10" s="42"/>
      <c r="B10" s="58" t="s">
        <v>219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43"/>
      <c r="P10" s="6"/>
      <c r="S10" s="7"/>
      <c r="X10" s="6"/>
    </row>
    <row r="11" spans="1:28" ht="15.75" x14ac:dyDescent="0.25">
      <c r="A11" s="42"/>
      <c r="B11" s="58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43"/>
      <c r="P11" s="6"/>
      <c r="S11" s="7"/>
      <c r="X11" s="6"/>
    </row>
    <row r="12" spans="1:28" ht="15.75" x14ac:dyDescent="0.25">
      <c r="A12" s="42"/>
      <c r="B12" s="58" t="s">
        <v>143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43"/>
      <c r="P12" s="6"/>
      <c r="X12" s="6"/>
    </row>
    <row r="13" spans="1:28" ht="15.75" x14ac:dyDescent="0.25">
      <c r="A13" s="6"/>
      <c r="B13" s="16"/>
      <c r="C13" s="1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5.75" x14ac:dyDescent="0.25">
      <c r="A14" s="6"/>
      <c r="B14" s="16"/>
      <c r="C14" s="1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5" customHeight="1" x14ac:dyDescent="0.25">
      <c r="A15" s="59" t="s">
        <v>20</v>
      </c>
      <c r="B15" s="60"/>
      <c r="C15" s="61"/>
      <c r="D15" s="68" t="s">
        <v>139</v>
      </c>
      <c r="E15" s="71" t="s">
        <v>21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30" customHeight="1" x14ac:dyDescent="0.25">
      <c r="A16" s="62"/>
      <c r="B16" s="63"/>
      <c r="C16" s="64"/>
      <c r="D16" s="69"/>
      <c r="E16" s="72" t="s">
        <v>22</v>
      </c>
      <c r="F16" s="73"/>
      <c r="G16" s="73"/>
      <c r="H16" s="73"/>
      <c r="I16" s="73"/>
      <c r="J16" s="73"/>
      <c r="K16" s="71" t="s">
        <v>45</v>
      </c>
      <c r="L16" s="71"/>
      <c r="M16" s="71"/>
      <c r="N16" s="71"/>
      <c r="O16" s="71"/>
      <c r="P16" s="7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0" customHeight="1" x14ac:dyDescent="0.25">
      <c r="A17" s="62"/>
      <c r="B17" s="63"/>
      <c r="C17" s="64"/>
      <c r="D17" s="69"/>
      <c r="E17" s="72" t="s">
        <v>137</v>
      </c>
      <c r="F17" s="73"/>
      <c r="G17" s="74"/>
      <c r="H17" s="75" t="s">
        <v>138</v>
      </c>
      <c r="I17" s="75"/>
      <c r="J17" s="71"/>
      <c r="K17" s="65" t="s">
        <v>137</v>
      </c>
      <c r="L17" s="66"/>
      <c r="M17" s="66"/>
      <c r="N17" s="75" t="s">
        <v>138</v>
      </c>
      <c r="O17" s="75"/>
      <c r="P17" s="71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32" customHeight="1" x14ac:dyDescent="0.25">
      <c r="A18" s="65"/>
      <c r="B18" s="66"/>
      <c r="C18" s="67"/>
      <c r="D18" s="70"/>
      <c r="E18" s="28" t="s">
        <v>141</v>
      </c>
      <c r="F18" s="28" t="s">
        <v>144</v>
      </c>
      <c r="G18" s="28" t="s">
        <v>145</v>
      </c>
      <c r="H18" s="28" t="s">
        <v>141</v>
      </c>
      <c r="I18" s="28" t="s">
        <v>144</v>
      </c>
      <c r="J18" s="28" t="s">
        <v>145</v>
      </c>
      <c r="K18" s="28" t="s">
        <v>141</v>
      </c>
      <c r="L18" s="28" t="s">
        <v>144</v>
      </c>
      <c r="M18" s="28" t="s">
        <v>145</v>
      </c>
      <c r="N18" s="28" t="s">
        <v>141</v>
      </c>
      <c r="O18" s="28" t="s">
        <v>144</v>
      </c>
      <c r="P18" s="28" t="s">
        <v>145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9.75" customHeight="1" x14ac:dyDescent="0.25">
      <c r="A19" s="13"/>
      <c r="B19" s="78" t="s">
        <v>140</v>
      </c>
      <c r="C19" s="79"/>
      <c r="D19" s="41" t="s">
        <v>142</v>
      </c>
      <c r="E19" s="47">
        <f>12110.05/1.04</f>
        <v>11644.278846153846</v>
      </c>
      <c r="F19" s="47">
        <f t="shared" ref="F19:P19" si="0">12110.05/1.04</f>
        <v>11644.278846153846</v>
      </c>
      <c r="G19" s="47">
        <f t="shared" si="0"/>
        <v>11644.278846153846</v>
      </c>
      <c r="H19" s="47">
        <f t="shared" si="0"/>
        <v>11644.278846153846</v>
      </c>
      <c r="I19" s="47">
        <f t="shared" si="0"/>
        <v>11644.278846153846</v>
      </c>
      <c r="J19" s="47">
        <f t="shared" si="0"/>
        <v>11644.278846153846</v>
      </c>
      <c r="K19" s="47">
        <f t="shared" si="0"/>
        <v>11644.278846153846</v>
      </c>
      <c r="L19" s="47">
        <f t="shared" si="0"/>
        <v>11644.278846153846</v>
      </c>
      <c r="M19" s="47">
        <f t="shared" si="0"/>
        <v>11644.278846153846</v>
      </c>
      <c r="N19" s="47">
        <f t="shared" si="0"/>
        <v>11644.278846153846</v>
      </c>
      <c r="O19" s="47">
        <f t="shared" si="0"/>
        <v>11644.278846153846</v>
      </c>
      <c r="P19" s="47">
        <f t="shared" si="0"/>
        <v>11644.278846153846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69.75" customHeight="1" x14ac:dyDescent="0.25">
      <c r="A20" s="13"/>
      <c r="B20" s="78" t="s">
        <v>23</v>
      </c>
      <c r="C20" s="79"/>
      <c r="D20" s="41" t="s">
        <v>142</v>
      </c>
      <c r="E20" s="33">
        <f>5712.8864/1.04</f>
        <v>5493.16</v>
      </c>
      <c r="F20" s="33">
        <f t="shared" ref="F20:P20" si="1">5712.8864/1.04</f>
        <v>5493.16</v>
      </c>
      <c r="G20" s="33">
        <f t="shared" si="1"/>
        <v>5493.16</v>
      </c>
      <c r="H20" s="33">
        <f t="shared" si="1"/>
        <v>5493.16</v>
      </c>
      <c r="I20" s="33">
        <f t="shared" si="1"/>
        <v>5493.16</v>
      </c>
      <c r="J20" s="33">
        <f t="shared" si="1"/>
        <v>5493.16</v>
      </c>
      <c r="K20" s="33">
        <f t="shared" si="1"/>
        <v>5493.16</v>
      </c>
      <c r="L20" s="33">
        <f t="shared" si="1"/>
        <v>5493.16</v>
      </c>
      <c r="M20" s="33">
        <f t="shared" si="1"/>
        <v>5493.16</v>
      </c>
      <c r="N20" s="33">
        <f t="shared" si="1"/>
        <v>5493.16</v>
      </c>
      <c r="O20" s="33">
        <f t="shared" si="1"/>
        <v>5493.16</v>
      </c>
      <c r="P20" s="33">
        <f t="shared" si="1"/>
        <v>5493.16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68.25" customHeight="1" x14ac:dyDescent="0.25">
      <c r="A21" s="13"/>
      <c r="B21" s="78" t="s">
        <v>146</v>
      </c>
      <c r="C21" s="79"/>
      <c r="D21" s="41" t="s">
        <v>142</v>
      </c>
      <c r="E21" s="33">
        <f>6397.1648/1.04</f>
        <v>6151.119999999999</v>
      </c>
      <c r="F21" s="33">
        <f t="shared" ref="F21:P21" si="2">6397.1648/1.04</f>
        <v>6151.119999999999</v>
      </c>
      <c r="G21" s="33">
        <f t="shared" si="2"/>
        <v>6151.119999999999</v>
      </c>
      <c r="H21" s="33">
        <f t="shared" si="2"/>
        <v>6151.119999999999</v>
      </c>
      <c r="I21" s="33">
        <f t="shared" si="2"/>
        <v>6151.119999999999</v>
      </c>
      <c r="J21" s="33">
        <f t="shared" si="2"/>
        <v>6151.119999999999</v>
      </c>
      <c r="K21" s="33">
        <f t="shared" si="2"/>
        <v>6151.119999999999</v>
      </c>
      <c r="L21" s="33">
        <f t="shared" si="2"/>
        <v>6151.119999999999</v>
      </c>
      <c r="M21" s="33">
        <f t="shared" si="2"/>
        <v>6151.119999999999</v>
      </c>
      <c r="N21" s="33">
        <f t="shared" si="2"/>
        <v>6151.119999999999</v>
      </c>
      <c r="O21" s="33">
        <f t="shared" si="2"/>
        <v>6151.119999999999</v>
      </c>
      <c r="P21" s="33">
        <f t="shared" si="2"/>
        <v>6151.119999999999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10.25" customHeight="1" x14ac:dyDescent="0.25">
      <c r="A22" s="17" t="s">
        <v>24</v>
      </c>
      <c r="B22" s="78" t="s">
        <v>25</v>
      </c>
      <c r="C22" s="79"/>
      <c r="D22" s="41" t="s">
        <v>207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25" customHeight="1" x14ac:dyDescent="0.25">
      <c r="A23" s="17"/>
      <c r="B23" s="80" t="s">
        <v>147</v>
      </c>
      <c r="C23" s="81"/>
      <c r="D23" s="41" t="s">
        <v>207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15" customHeight="1" x14ac:dyDescent="0.25">
      <c r="A24" s="17"/>
      <c r="B24" s="76" t="s">
        <v>148</v>
      </c>
      <c r="C24" s="77" t="s">
        <v>148</v>
      </c>
      <c r="D24" s="41" t="s">
        <v>207</v>
      </c>
      <c r="E24" s="32">
        <v>0</v>
      </c>
      <c r="F24" s="32">
        <f>892.4864/1.04</f>
        <v>858.16</v>
      </c>
      <c r="G24" s="32">
        <f>938.5896/1.04</f>
        <v>902.49</v>
      </c>
      <c r="H24" s="32">
        <v>0</v>
      </c>
      <c r="I24" s="32">
        <v>0</v>
      </c>
      <c r="J24" s="32">
        <v>0</v>
      </c>
      <c r="K24" s="32">
        <v>0</v>
      </c>
      <c r="L24" s="32">
        <f>892.4864/1.04</f>
        <v>858.16</v>
      </c>
      <c r="M24" s="32">
        <f>938.5896/1.04</f>
        <v>902.49</v>
      </c>
      <c r="N24" s="32">
        <v>0</v>
      </c>
      <c r="O24" s="32">
        <v>0</v>
      </c>
      <c r="P24" s="32">
        <v>0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" customHeight="1" x14ac:dyDescent="0.25">
      <c r="A25" s="17"/>
      <c r="B25" s="76" t="s">
        <v>149</v>
      </c>
      <c r="C25" s="77" t="s">
        <v>149</v>
      </c>
      <c r="D25" s="41" t="s">
        <v>207</v>
      </c>
      <c r="E25" s="32">
        <v>0</v>
      </c>
      <c r="F25" s="32">
        <f>679.432/1.04</f>
        <v>653.29999999999995</v>
      </c>
      <c r="G25" s="32">
        <f>1204.424/1.04</f>
        <v>1158.0999999999999</v>
      </c>
      <c r="H25" s="32">
        <v>0</v>
      </c>
      <c r="I25" s="32">
        <v>0</v>
      </c>
      <c r="J25" s="32">
        <v>0</v>
      </c>
      <c r="K25" s="32">
        <v>0</v>
      </c>
      <c r="L25" s="32">
        <f>679.432/1.04</f>
        <v>653.29999999999995</v>
      </c>
      <c r="M25" s="32">
        <f>1204.424/1.04</f>
        <v>1158.0999999999999</v>
      </c>
      <c r="N25" s="32">
        <v>0</v>
      </c>
      <c r="O25" s="32">
        <v>0</v>
      </c>
      <c r="P25" s="32">
        <v>0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28.5" customHeight="1" x14ac:dyDescent="0.25">
      <c r="A26" s="17"/>
      <c r="B26" s="76" t="s">
        <v>150</v>
      </c>
      <c r="C26" s="77"/>
      <c r="D26" s="41" t="s">
        <v>207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customHeight="1" x14ac:dyDescent="0.25">
      <c r="A27" s="17"/>
      <c r="B27" s="76" t="s">
        <v>148</v>
      </c>
      <c r="C27" s="77" t="s">
        <v>148</v>
      </c>
      <c r="D27" s="41" t="s">
        <v>207</v>
      </c>
      <c r="E27" s="32">
        <v>0</v>
      </c>
      <c r="F27" s="32">
        <f>1048.7984/1.04</f>
        <v>1008.4599999999999</v>
      </c>
      <c r="G27" s="32">
        <f>1128.7016/1.04</f>
        <v>1085.29</v>
      </c>
      <c r="H27" s="32">
        <v>0</v>
      </c>
      <c r="I27" s="32">
        <v>0</v>
      </c>
      <c r="J27" s="32">
        <v>0</v>
      </c>
      <c r="K27" s="32">
        <v>0</v>
      </c>
      <c r="L27" s="32">
        <f>1048.7984/1.04</f>
        <v>1008.4599999999999</v>
      </c>
      <c r="M27" s="32">
        <f>1128.7016/1.04</f>
        <v>1085.29</v>
      </c>
      <c r="N27" s="32">
        <v>0</v>
      </c>
      <c r="O27" s="32">
        <v>0</v>
      </c>
      <c r="P27" s="32">
        <v>0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customHeight="1" x14ac:dyDescent="0.25">
      <c r="A28" s="17"/>
      <c r="B28" s="76" t="s">
        <v>149</v>
      </c>
      <c r="C28" s="77" t="s">
        <v>149</v>
      </c>
      <c r="D28" s="41" t="s">
        <v>207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2.25" customHeight="1" x14ac:dyDescent="0.25">
      <c r="A29" s="17"/>
      <c r="B29" s="76" t="s">
        <v>151</v>
      </c>
      <c r="C29" s="77"/>
      <c r="D29" s="41" t="s">
        <v>207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15" customHeight="1" x14ac:dyDescent="0.25">
      <c r="A30" s="17"/>
      <c r="B30" s="76" t="s">
        <v>152</v>
      </c>
      <c r="C30" s="77" t="s">
        <v>152</v>
      </c>
      <c r="D30" s="41" t="s">
        <v>207</v>
      </c>
      <c r="E30" s="32"/>
      <c r="F30" s="32"/>
      <c r="G30" s="32"/>
      <c r="H30" s="32">
        <v>0</v>
      </c>
      <c r="I30" s="32">
        <v>0</v>
      </c>
      <c r="J30" s="32">
        <v>0</v>
      </c>
      <c r="K30" s="32">
        <v>0</v>
      </c>
      <c r="L30" s="32">
        <f>125.684/1.04</f>
        <v>120.85</v>
      </c>
      <c r="M30" s="32">
        <f>570.7936/1.04</f>
        <v>548.83999999999992</v>
      </c>
      <c r="N30" s="32">
        <v>0</v>
      </c>
      <c r="O30" s="32">
        <v>0</v>
      </c>
      <c r="P30" s="32">
        <v>0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15" customHeight="1" x14ac:dyDescent="0.25">
      <c r="A31" s="17"/>
      <c r="B31" s="76" t="s">
        <v>149</v>
      </c>
      <c r="C31" s="77" t="s">
        <v>149</v>
      </c>
      <c r="D31" s="41" t="s">
        <v>207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28.5" customHeight="1" x14ac:dyDescent="0.25">
      <c r="A32" s="17"/>
      <c r="B32" s="76" t="s">
        <v>153</v>
      </c>
      <c r="C32" s="77"/>
      <c r="D32" s="41" t="s">
        <v>207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5" customHeight="1" x14ac:dyDescent="0.25">
      <c r="A33" s="17"/>
      <c r="B33" s="82" t="s">
        <v>154</v>
      </c>
      <c r="C33" s="83" t="s">
        <v>152</v>
      </c>
      <c r="D33" s="41" t="s">
        <v>207</v>
      </c>
      <c r="E33" s="32">
        <v>0</v>
      </c>
      <c r="F33" s="32">
        <f>936.7696/1.04</f>
        <v>900.7399999999999</v>
      </c>
      <c r="G33" s="32">
        <f>248.0296/1.04</f>
        <v>238.48999999999998</v>
      </c>
      <c r="H33" s="32">
        <v>0</v>
      </c>
      <c r="I33" s="32">
        <v>0</v>
      </c>
      <c r="J33" s="32">
        <v>0</v>
      </c>
      <c r="K33" s="32">
        <v>0</v>
      </c>
      <c r="L33" s="32">
        <f>936.7696/1.04</f>
        <v>900.7399999999999</v>
      </c>
      <c r="M33" s="32">
        <f>248.0296/1.04</f>
        <v>238.48999999999998</v>
      </c>
      <c r="N33" s="32">
        <v>0</v>
      </c>
      <c r="O33" s="32">
        <v>0</v>
      </c>
      <c r="P33" s="32">
        <v>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5.75" x14ac:dyDescent="0.25">
      <c r="A34" s="17"/>
      <c r="B34" s="82" t="s">
        <v>149</v>
      </c>
      <c r="C34" s="83" t="s">
        <v>149</v>
      </c>
      <c r="D34" s="41" t="s">
        <v>207</v>
      </c>
      <c r="E34" s="32">
        <v>0</v>
      </c>
      <c r="F34" s="32">
        <f>935.6048/1.04</f>
        <v>899.61999999999989</v>
      </c>
      <c r="G34" s="32">
        <f>927.2536/1.04</f>
        <v>891.59</v>
      </c>
      <c r="H34" s="32">
        <v>0</v>
      </c>
      <c r="I34" s="32">
        <v>0</v>
      </c>
      <c r="J34" s="32">
        <v>0</v>
      </c>
      <c r="K34" s="32">
        <v>0</v>
      </c>
      <c r="L34" s="32">
        <f>935.6048/1.04</f>
        <v>899.61999999999989</v>
      </c>
      <c r="M34" s="32">
        <f>927.2536/1.04</f>
        <v>891.59</v>
      </c>
      <c r="N34" s="32">
        <v>0</v>
      </c>
      <c r="O34" s="32">
        <v>0</v>
      </c>
      <c r="P34" s="32">
        <v>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5.75" x14ac:dyDescent="0.25">
      <c r="A35" s="17"/>
      <c r="B35" s="82" t="s">
        <v>155</v>
      </c>
      <c r="C35" s="83" t="s">
        <v>155</v>
      </c>
      <c r="D35" s="41" t="s">
        <v>207</v>
      </c>
      <c r="E35" s="32">
        <v>0</v>
      </c>
      <c r="F35" s="32">
        <f>1251.1096/1.04</f>
        <v>1202.99</v>
      </c>
      <c r="G35" s="32">
        <f>1026.1576/1.04</f>
        <v>986.68999999999994</v>
      </c>
      <c r="H35" s="32">
        <v>0</v>
      </c>
      <c r="I35" s="32">
        <v>0</v>
      </c>
      <c r="J35" s="32">
        <v>0</v>
      </c>
      <c r="K35" s="32">
        <v>0</v>
      </c>
      <c r="L35" s="32">
        <f>1251.1096/1.04</f>
        <v>1202.99</v>
      </c>
      <c r="M35" s="32">
        <f>1026.1576/1.04</f>
        <v>986.68999999999994</v>
      </c>
      <c r="N35" s="32">
        <v>0</v>
      </c>
      <c r="O35" s="32">
        <v>0</v>
      </c>
      <c r="P35" s="32"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7" customHeight="1" x14ac:dyDescent="0.25">
      <c r="A36" s="17"/>
      <c r="B36" s="76" t="s">
        <v>156</v>
      </c>
      <c r="C36" s="77"/>
      <c r="D36" s="41" t="s">
        <v>207</v>
      </c>
      <c r="E36" s="32"/>
      <c r="F36" s="32"/>
      <c r="G36" s="32"/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s="51" customFormat="1" ht="15" customHeight="1" x14ac:dyDescent="0.25">
      <c r="A37" s="48"/>
      <c r="B37" s="82" t="s">
        <v>154</v>
      </c>
      <c r="C37" s="83" t="s">
        <v>152</v>
      </c>
      <c r="D37" s="49" t="s">
        <v>207</v>
      </c>
      <c r="E37" s="32">
        <v>0</v>
      </c>
      <c r="F37" s="32">
        <f>710.424/1.04</f>
        <v>683.09999999999991</v>
      </c>
      <c r="G37" s="32">
        <f>855.5664/1.04</f>
        <v>822.66</v>
      </c>
      <c r="H37" s="32">
        <v>0</v>
      </c>
      <c r="I37" s="32">
        <v>0</v>
      </c>
      <c r="J37" s="32">
        <v>0</v>
      </c>
      <c r="K37" s="32">
        <v>0</v>
      </c>
      <c r="L37" s="32">
        <f>710.424/1.04</f>
        <v>683.09999999999991</v>
      </c>
      <c r="M37" s="32">
        <f>855.5664/1.04</f>
        <v>822.66</v>
      </c>
      <c r="N37" s="32">
        <v>0</v>
      </c>
      <c r="O37" s="32">
        <v>0</v>
      </c>
      <c r="P37" s="32">
        <v>0</v>
      </c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ht="32.25" customHeight="1" x14ac:dyDescent="0.25">
      <c r="A38" s="17"/>
      <c r="B38" s="76" t="s">
        <v>157</v>
      </c>
      <c r="C38" s="77"/>
      <c r="D38" s="41" t="s">
        <v>207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5" customHeight="1" x14ac:dyDescent="0.25">
      <c r="A39" s="17"/>
      <c r="B39" s="82" t="s">
        <v>152</v>
      </c>
      <c r="C39" s="83"/>
      <c r="D39" s="41" t="s">
        <v>207</v>
      </c>
      <c r="E39" s="32">
        <v>0</v>
      </c>
      <c r="F39" s="32">
        <f>984.5784/1.04</f>
        <v>946.70999999999992</v>
      </c>
      <c r="G39" s="32">
        <f>572.1768/1.04</f>
        <v>550.16999999999996</v>
      </c>
      <c r="H39" s="32">
        <v>0</v>
      </c>
      <c r="I39" s="32">
        <v>0</v>
      </c>
      <c r="J39" s="32">
        <v>0</v>
      </c>
      <c r="K39" s="32">
        <v>0</v>
      </c>
      <c r="L39" s="32">
        <f>984.5784/1.04</f>
        <v>946.70999999999992</v>
      </c>
      <c r="M39" s="32">
        <f>572.1768/1.04</f>
        <v>550.16999999999996</v>
      </c>
      <c r="N39" s="32">
        <v>0</v>
      </c>
      <c r="O39" s="32">
        <v>0</v>
      </c>
      <c r="P39" s="32"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29.25" customHeight="1" x14ac:dyDescent="0.25">
      <c r="A40" s="17"/>
      <c r="B40" s="76" t="s">
        <v>158</v>
      </c>
      <c r="C40" s="77"/>
      <c r="D40" s="41" t="s">
        <v>207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5" customHeight="1" x14ac:dyDescent="0.25">
      <c r="A41" s="17"/>
      <c r="B41" s="82" t="s">
        <v>148</v>
      </c>
      <c r="C41" s="83"/>
      <c r="D41" s="41" t="s">
        <v>207</v>
      </c>
      <c r="E41" s="32"/>
      <c r="F41" s="32"/>
      <c r="G41" s="32"/>
      <c r="H41" s="32">
        <v>0</v>
      </c>
      <c r="I41" s="32">
        <f>4679.2928/1.04</f>
        <v>4499.32</v>
      </c>
      <c r="J41" s="32">
        <f>1520.9376/1.04</f>
        <v>1462.4399999999998</v>
      </c>
      <c r="K41" s="32">
        <v>0</v>
      </c>
      <c r="L41" s="32">
        <v>0</v>
      </c>
      <c r="M41" s="32">
        <v>0</v>
      </c>
      <c r="N41" s="32">
        <v>0</v>
      </c>
      <c r="O41" s="32">
        <f>4679.2928/1.04</f>
        <v>4499.32</v>
      </c>
      <c r="P41" s="32">
        <f>1520.9376/1.04</f>
        <v>1462.4399999999998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5.75" x14ac:dyDescent="0.25">
      <c r="A42" s="17"/>
      <c r="B42" s="82" t="s">
        <v>149</v>
      </c>
      <c r="C42" s="83"/>
      <c r="D42" s="41" t="s">
        <v>207</v>
      </c>
      <c r="E42" s="32">
        <v>0</v>
      </c>
      <c r="F42" s="32">
        <v>0</v>
      </c>
      <c r="G42" s="32">
        <v>0</v>
      </c>
      <c r="H42" s="32">
        <v>0</v>
      </c>
      <c r="I42" s="32">
        <f>2443.168/1.04</f>
        <v>2349.1999999999998</v>
      </c>
      <c r="J42" s="32">
        <f>2443.168/1.04</f>
        <v>2349.1999999999998</v>
      </c>
      <c r="K42" s="32">
        <v>0</v>
      </c>
      <c r="L42" s="32">
        <v>0</v>
      </c>
      <c r="M42" s="32">
        <v>0</v>
      </c>
      <c r="N42" s="32">
        <v>0</v>
      </c>
      <c r="O42" s="32">
        <f>2443.168/1.04</f>
        <v>2349.1999999999998</v>
      </c>
      <c r="P42" s="32">
        <f>2443.168/1.04</f>
        <v>2349.1999999999998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1.5" customHeight="1" x14ac:dyDescent="0.25">
      <c r="A43" s="17"/>
      <c r="B43" s="76" t="s">
        <v>159</v>
      </c>
      <c r="C43" s="77"/>
      <c r="D43" s="41" t="s">
        <v>207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5.75" x14ac:dyDescent="0.25">
      <c r="A44" s="17"/>
      <c r="B44" s="82" t="s">
        <v>148</v>
      </c>
      <c r="C44" s="83"/>
      <c r="D44" s="41" t="s">
        <v>207</v>
      </c>
      <c r="E44" s="32">
        <v>0</v>
      </c>
      <c r="F44" s="32">
        <v>0</v>
      </c>
      <c r="G44" s="32">
        <v>0</v>
      </c>
      <c r="H44" s="32">
        <v>0</v>
      </c>
      <c r="I44" s="32">
        <f>1188.8448/1.04</f>
        <v>1143.1200000000001</v>
      </c>
      <c r="J44" s="32">
        <f>1865.8224/1.04</f>
        <v>1794.06</v>
      </c>
      <c r="K44" s="32">
        <v>0</v>
      </c>
      <c r="L44" s="32">
        <v>0</v>
      </c>
      <c r="M44" s="32">
        <v>0</v>
      </c>
      <c r="N44" s="32">
        <v>0</v>
      </c>
      <c r="O44" s="32">
        <f>1188.8448/1.04</f>
        <v>1143.1200000000001</v>
      </c>
      <c r="P44" s="32">
        <f>1865.8224/1.04</f>
        <v>1794.06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1.5" customHeight="1" x14ac:dyDescent="0.25">
      <c r="A45" s="17"/>
      <c r="B45" s="76" t="s">
        <v>160</v>
      </c>
      <c r="C45" s="77"/>
      <c r="D45" s="41" t="s">
        <v>207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5.75" x14ac:dyDescent="0.25">
      <c r="A46" s="17"/>
      <c r="B46" s="82" t="s">
        <v>152</v>
      </c>
      <c r="C46" s="83"/>
      <c r="D46" s="41" t="s">
        <v>207</v>
      </c>
      <c r="E46" s="32"/>
      <c r="F46" s="32"/>
      <c r="G46" s="32"/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5.75" x14ac:dyDescent="0.25">
      <c r="A47" s="17"/>
      <c r="B47" s="82" t="s">
        <v>149</v>
      </c>
      <c r="C47" s="83"/>
      <c r="D47" s="41" t="s">
        <v>207</v>
      </c>
      <c r="E47" s="32">
        <v>0</v>
      </c>
      <c r="F47" s="32">
        <v>0</v>
      </c>
      <c r="G47" s="32">
        <v>0</v>
      </c>
      <c r="H47" s="32">
        <v>0</v>
      </c>
      <c r="I47" s="32">
        <f>10381.0824/1.04</f>
        <v>9981.81</v>
      </c>
      <c r="J47" s="32">
        <f>10381.0824/1.04</f>
        <v>9981.81</v>
      </c>
      <c r="K47" s="32">
        <v>0</v>
      </c>
      <c r="L47" s="32">
        <v>0</v>
      </c>
      <c r="M47" s="32">
        <v>0</v>
      </c>
      <c r="N47" s="32">
        <v>0</v>
      </c>
      <c r="O47" s="32">
        <f>10381.0824/1.04</f>
        <v>9981.81</v>
      </c>
      <c r="P47" s="32">
        <f>10381.0824/1.04</f>
        <v>9981.81</v>
      </c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31.5" customHeight="1" x14ac:dyDescent="0.25">
      <c r="A48" s="17"/>
      <c r="B48" s="76" t="s">
        <v>161</v>
      </c>
      <c r="C48" s="77"/>
      <c r="D48" s="41" t="s">
        <v>207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5.75" x14ac:dyDescent="0.25">
      <c r="A49" s="17"/>
      <c r="B49" s="82" t="s">
        <v>155</v>
      </c>
      <c r="C49" s="83"/>
      <c r="D49" s="41" t="s">
        <v>207</v>
      </c>
      <c r="E49" s="32">
        <v>0</v>
      </c>
      <c r="F49" s="32">
        <v>0</v>
      </c>
      <c r="G49" s="32">
        <v>0</v>
      </c>
      <c r="H49" s="32">
        <v>0</v>
      </c>
      <c r="I49" s="32">
        <f>16002.5736/1.04</f>
        <v>15387.089999999998</v>
      </c>
      <c r="J49" s="32">
        <f>16002.5736/1.04</f>
        <v>15387.089999999998</v>
      </c>
      <c r="K49" s="32">
        <v>0</v>
      </c>
      <c r="L49" s="32">
        <v>0</v>
      </c>
      <c r="M49" s="32">
        <v>0</v>
      </c>
      <c r="N49" s="32">
        <v>0</v>
      </c>
      <c r="O49" s="32">
        <f>16002.5736/1.04</f>
        <v>15387.089999999998</v>
      </c>
      <c r="P49" s="32">
        <f>16002.5736/1.04</f>
        <v>15387.089999999998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30.75" customHeight="1" x14ac:dyDescent="0.25">
      <c r="A50" s="17"/>
      <c r="B50" s="76" t="s">
        <v>162</v>
      </c>
      <c r="C50" s="77"/>
      <c r="D50" s="41" t="s">
        <v>207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5.75" x14ac:dyDescent="0.25">
      <c r="A51" s="17"/>
      <c r="B51" s="82" t="s">
        <v>152</v>
      </c>
      <c r="C51" s="83" t="s">
        <v>152</v>
      </c>
      <c r="D51" s="41" t="s">
        <v>207</v>
      </c>
      <c r="E51" s="32"/>
      <c r="F51" s="32"/>
      <c r="G51" s="32"/>
      <c r="H51" s="32">
        <v>0</v>
      </c>
      <c r="I51" s="32">
        <f>1075.412/1.04</f>
        <v>1034.05</v>
      </c>
      <c r="J51" s="32">
        <f>1136.4392/1.04</f>
        <v>1092.73</v>
      </c>
      <c r="K51" s="32">
        <v>0</v>
      </c>
      <c r="L51" s="32">
        <v>0</v>
      </c>
      <c r="M51" s="32">
        <v>0</v>
      </c>
      <c r="N51" s="32">
        <v>0</v>
      </c>
      <c r="O51" s="32">
        <f>1075.412/1.04</f>
        <v>1034.05</v>
      </c>
      <c r="P51" s="32">
        <f>1136.4392/1.04</f>
        <v>1092.73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5.75" x14ac:dyDescent="0.25">
      <c r="A52" s="17"/>
      <c r="B52" s="82" t="s">
        <v>149</v>
      </c>
      <c r="C52" s="83" t="s">
        <v>149</v>
      </c>
      <c r="D52" s="41" t="s">
        <v>207</v>
      </c>
      <c r="E52" s="32"/>
      <c r="F52" s="32"/>
      <c r="G52" s="32"/>
      <c r="H52" s="32">
        <v>0</v>
      </c>
      <c r="I52" s="32">
        <f>2846.7504/1.04</f>
        <v>2737.2599999999998</v>
      </c>
      <c r="J52" s="32">
        <f>1930.0112/1.04</f>
        <v>1855.7799999999997</v>
      </c>
      <c r="K52" s="32">
        <v>0</v>
      </c>
      <c r="L52" s="32">
        <v>0</v>
      </c>
      <c r="M52" s="32">
        <v>0</v>
      </c>
      <c r="N52" s="32">
        <v>0</v>
      </c>
      <c r="O52" s="32">
        <f>2846.7504/1.04</f>
        <v>2737.2599999999998</v>
      </c>
      <c r="P52" s="32">
        <f>1930.0112/1.04</f>
        <v>1855.7799999999997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15.75" x14ac:dyDescent="0.25">
      <c r="A53" s="17"/>
      <c r="B53" s="82" t="s">
        <v>155</v>
      </c>
      <c r="C53" s="83" t="s">
        <v>155</v>
      </c>
      <c r="D53" s="41" t="s">
        <v>207</v>
      </c>
      <c r="E53" s="32">
        <v>0</v>
      </c>
      <c r="F53" s="32">
        <v>0</v>
      </c>
      <c r="G53" s="32">
        <v>0</v>
      </c>
      <c r="H53" s="32">
        <v>0</v>
      </c>
      <c r="I53" s="32">
        <f>6959.4928/1.04</f>
        <v>6691.82</v>
      </c>
      <c r="J53" s="32">
        <f>1270.412/1.04</f>
        <v>1221.55</v>
      </c>
      <c r="K53" s="32">
        <v>0</v>
      </c>
      <c r="L53" s="32">
        <v>0</v>
      </c>
      <c r="M53" s="32">
        <v>0</v>
      </c>
      <c r="N53" s="32">
        <v>0</v>
      </c>
      <c r="O53" s="32">
        <f>6959.4928/1.04</f>
        <v>6691.82</v>
      </c>
      <c r="P53" s="32">
        <f>1270.412/1.04</f>
        <v>1221.55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33" customHeight="1" x14ac:dyDescent="0.25">
      <c r="A54" s="17"/>
      <c r="B54" s="76" t="s">
        <v>163</v>
      </c>
      <c r="C54" s="77"/>
      <c r="D54" s="41" t="s">
        <v>207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15.75" x14ac:dyDescent="0.25">
      <c r="A55" s="17"/>
      <c r="B55" s="82" t="s">
        <v>152</v>
      </c>
      <c r="C55" s="83"/>
      <c r="D55" s="41" t="s">
        <v>207</v>
      </c>
      <c r="E55" s="32">
        <v>0</v>
      </c>
      <c r="F55" s="32">
        <v>0</v>
      </c>
      <c r="G55" s="32">
        <v>0</v>
      </c>
      <c r="H55" s="32">
        <v>0</v>
      </c>
      <c r="I55" s="32">
        <f>751.3584/1.04</f>
        <v>722.45999999999992</v>
      </c>
      <c r="J55" s="32">
        <f>999.0656/1.04</f>
        <v>960.64</v>
      </c>
      <c r="K55" s="32">
        <v>0</v>
      </c>
      <c r="L55" s="32">
        <v>0</v>
      </c>
      <c r="M55" s="32">
        <v>0</v>
      </c>
      <c r="N55" s="32">
        <v>0</v>
      </c>
      <c r="O55" s="32">
        <f>751.3584/1.04</f>
        <v>722.45999999999992</v>
      </c>
      <c r="P55" s="32">
        <f>999.0656/1.04</f>
        <v>960.64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5.75" x14ac:dyDescent="0.25">
      <c r="A56" s="17"/>
      <c r="B56" s="82" t="s">
        <v>149</v>
      </c>
      <c r="C56" s="83"/>
      <c r="D56" s="41" t="s">
        <v>207</v>
      </c>
      <c r="E56" s="32">
        <v>0</v>
      </c>
      <c r="F56" s="32">
        <v>0</v>
      </c>
      <c r="G56" s="32">
        <v>0</v>
      </c>
      <c r="H56" s="32">
        <v>0</v>
      </c>
      <c r="I56" s="32">
        <f>2148.3488/1.04</f>
        <v>2065.7200000000003</v>
      </c>
      <c r="J56" s="32">
        <f>1005.3576/1.04</f>
        <v>966.69</v>
      </c>
      <c r="K56" s="32">
        <v>0</v>
      </c>
      <c r="L56" s="32">
        <v>0</v>
      </c>
      <c r="M56" s="32">
        <v>0</v>
      </c>
      <c r="N56" s="32">
        <v>0</v>
      </c>
      <c r="O56" s="32">
        <f>2148.3488/1.04</f>
        <v>2065.7200000000003</v>
      </c>
      <c r="P56" s="32">
        <f>1005.3576/1.04</f>
        <v>966.69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75" x14ac:dyDescent="0.25">
      <c r="A57" s="17"/>
      <c r="B57" s="82" t="s">
        <v>155</v>
      </c>
      <c r="C57" s="83"/>
      <c r="D57" s="41" t="s">
        <v>207</v>
      </c>
      <c r="E57" s="32">
        <v>0</v>
      </c>
      <c r="F57" s="32">
        <v>0</v>
      </c>
      <c r="G57" s="32">
        <v>0</v>
      </c>
      <c r="H57" s="32">
        <v>0</v>
      </c>
      <c r="I57" s="32">
        <f>2938.26/1.04</f>
        <v>2825.25</v>
      </c>
      <c r="J57" s="32">
        <f>2938.26/1.04</f>
        <v>2825.25</v>
      </c>
      <c r="K57" s="32">
        <v>0</v>
      </c>
      <c r="L57" s="32">
        <v>0</v>
      </c>
      <c r="M57" s="32">
        <v>0</v>
      </c>
      <c r="N57" s="32">
        <v>0</v>
      </c>
      <c r="O57" s="32">
        <f>2938.26/1.04</f>
        <v>2825.25</v>
      </c>
      <c r="P57" s="32">
        <f>2938.26/1.04</f>
        <v>2825.25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31.5" customHeight="1" x14ac:dyDescent="0.25">
      <c r="A58" s="17"/>
      <c r="B58" s="76" t="s">
        <v>164</v>
      </c>
      <c r="C58" s="77"/>
      <c r="D58" s="41" t="s">
        <v>207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.75" x14ac:dyDescent="0.25">
      <c r="A59" s="17"/>
      <c r="B59" s="82" t="s">
        <v>152</v>
      </c>
      <c r="C59" s="83"/>
      <c r="D59" s="41" t="s">
        <v>207</v>
      </c>
      <c r="E59" s="32">
        <v>0</v>
      </c>
      <c r="F59" s="32">
        <v>0</v>
      </c>
      <c r="G59" s="32">
        <v>0</v>
      </c>
      <c r="H59" s="32">
        <v>0</v>
      </c>
      <c r="I59" s="32">
        <f>2864.2224/1.04</f>
        <v>2754.06</v>
      </c>
      <c r="J59" s="32">
        <f>3900.1248/1.04</f>
        <v>3750.12</v>
      </c>
      <c r="K59" s="32">
        <v>0</v>
      </c>
      <c r="L59" s="32">
        <v>0</v>
      </c>
      <c r="M59" s="32">
        <v>0</v>
      </c>
      <c r="N59" s="32">
        <v>0</v>
      </c>
      <c r="O59" s="32">
        <f>2864.2224/1.04</f>
        <v>2754.06</v>
      </c>
      <c r="P59" s="32">
        <f>3900.1248/1.04</f>
        <v>3750.12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.75" x14ac:dyDescent="0.25">
      <c r="A60" s="17"/>
      <c r="B60" s="82" t="s">
        <v>155</v>
      </c>
      <c r="C60" s="83"/>
      <c r="D60" s="41" t="s">
        <v>207</v>
      </c>
      <c r="E60" s="32">
        <v>0</v>
      </c>
      <c r="F60" s="32">
        <v>0</v>
      </c>
      <c r="G60" s="32">
        <v>0</v>
      </c>
      <c r="H60" s="32">
        <v>0</v>
      </c>
      <c r="I60" s="32">
        <f>1060.3736/1.04</f>
        <v>1019.5899999999999</v>
      </c>
      <c r="J60" s="32">
        <f>1060.3736/1.04</f>
        <v>1019.5899999999999</v>
      </c>
      <c r="K60" s="32">
        <v>0</v>
      </c>
      <c r="L60" s="32">
        <v>0</v>
      </c>
      <c r="M60" s="32">
        <v>0</v>
      </c>
      <c r="N60" s="32">
        <v>0</v>
      </c>
      <c r="O60" s="32">
        <f>1060.3736/1.04</f>
        <v>1019.5899999999999</v>
      </c>
      <c r="P60" s="32">
        <f>1060.3736/1.04</f>
        <v>1019.5899999999999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s="51" customFormat="1" ht="33" customHeight="1" x14ac:dyDescent="0.25">
      <c r="A61" s="48"/>
      <c r="B61" s="76" t="s">
        <v>165</v>
      </c>
      <c r="C61" s="77"/>
      <c r="D61" s="49" t="s">
        <v>207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</row>
    <row r="62" spans="1:28" ht="15.75" x14ac:dyDescent="0.25">
      <c r="A62" s="17"/>
      <c r="B62" s="82" t="s">
        <v>152</v>
      </c>
      <c r="C62" s="83"/>
      <c r="D62" s="41" t="s">
        <v>207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5.75" x14ac:dyDescent="0.25">
      <c r="A63" s="17"/>
      <c r="B63" s="82" t="s">
        <v>149</v>
      </c>
      <c r="C63" s="83"/>
      <c r="D63" s="41" t="s">
        <v>207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29.25" customHeight="1" x14ac:dyDescent="0.25">
      <c r="A64" s="17"/>
      <c r="B64" s="76" t="s">
        <v>166</v>
      </c>
      <c r="C64" s="77"/>
      <c r="D64" s="41" t="s">
        <v>207</v>
      </c>
      <c r="E64" s="32"/>
      <c r="F64" s="32"/>
      <c r="G64" s="32"/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75" x14ac:dyDescent="0.25">
      <c r="A65" s="17"/>
      <c r="B65" s="82" t="s">
        <v>155</v>
      </c>
      <c r="C65" s="83"/>
      <c r="D65" s="41" t="s">
        <v>207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29.25" customHeight="1" x14ac:dyDescent="0.25">
      <c r="A66" s="17"/>
      <c r="B66" s="76" t="s">
        <v>167</v>
      </c>
      <c r="C66" s="77"/>
      <c r="D66" s="41" t="s">
        <v>207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75" x14ac:dyDescent="0.25">
      <c r="A67" s="17"/>
      <c r="B67" s="82" t="s">
        <v>155</v>
      </c>
      <c r="C67" s="83"/>
      <c r="D67" s="41" t="s">
        <v>207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16.25" customHeight="1" x14ac:dyDescent="0.25">
      <c r="A68" s="17" t="s">
        <v>24</v>
      </c>
      <c r="B68" s="84" t="s">
        <v>26</v>
      </c>
      <c r="C68" s="85"/>
      <c r="D68" s="41" t="s">
        <v>207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45" customHeight="1" x14ac:dyDescent="0.25">
      <c r="A69" s="17"/>
      <c r="B69" s="76" t="s">
        <v>168</v>
      </c>
      <c r="C69" s="77"/>
      <c r="D69" s="41" t="s">
        <v>207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75" x14ac:dyDescent="0.25">
      <c r="A70" s="17"/>
      <c r="B70" s="82" t="s">
        <v>169</v>
      </c>
      <c r="C70" s="83"/>
      <c r="D70" s="41" t="s">
        <v>207</v>
      </c>
      <c r="E70" s="32">
        <v>0</v>
      </c>
      <c r="F70" s="32">
        <f>1922.9808/1.04</f>
        <v>1849.02</v>
      </c>
      <c r="G70" s="32">
        <f>1922.9808/1.04</f>
        <v>1849.02</v>
      </c>
      <c r="H70" s="32">
        <v>0</v>
      </c>
      <c r="I70" s="32">
        <v>0</v>
      </c>
      <c r="J70" s="32">
        <v>0</v>
      </c>
      <c r="K70" s="32">
        <v>0</v>
      </c>
      <c r="L70" s="32">
        <f>1922.9808/1.04</f>
        <v>1849.02</v>
      </c>
      <c r="M70" s="32">
        <f>1922.9808/1.04</f>
        <v>1849.02</v>
      </c>
      <c r="N70" s="32">
        <v>0</v>
      </c>
      <c r="O70" s="32">
        <v>0</v>
      </c>
      <c r="P70" s="32">
        <v>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75" x14ac:dyDescent="0.25">
      <c r="A71" s="17"/>
      <c r="B71" s="82" t="s">
        <v>155</v>
      </c>
      <c r="C71" s="83"/>
      <c r="D71" s="41" t="s">
        <v>207</v>
      </c>
      <c r="E71" s="32">
        <v>0</v>
      </c>
      <c r="F71" s="32">
        <f>2378.584/1.04</f>
        <v>2287.1</v>
      </c>
      <c r="G71" s="32">
        <f>2736.4376/1.04</f>
        <v>2631.19</v>
      </c>
      <c r="H71" s="32">
        <v>0</v>
      </c>
      <c r="I71" s="32">
        <v>0</v>
      </c>
      <c r="J71" s="32">
        <v>0</v>
      </c>
      <c r="K71" s="32">
        <v>0</v>
      </c>
      <c r="L71" s="32">
        <f>2378.584/1.04</f>
        <v>2287.1</v>
      </c>
      <c r="M71" s="32">
        <f>2736.4376/1.04</f>
        <v>2631.19</v>
      </c>
      <c r="N71" s="32">
        <v>0</v>
      </c>
      <c r="O71" s="32">
        <v>0</v>
      </c>
      <c r="P71" s="32">
        <v>0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75" x14ac:dyDescent="0.25">
      <c r="A72" s="17"/>
      <c r="B72" s="82" t="s">
        <v>170</v>
      </c>
      <c r="C72" s="83"/>
      <c r="D72" s="41" t="s">
        <v>207</v>
      </c>
      <c r="E72" s="32">
        <v>0</v>
      </c>
      <c r="F72" s="32">
        <f>2646.8624/1.04</f>
        <v>2545.06</v>
      </c>
      <c r="G72" s="32">
        <f>5807.048/1.04</f>
        <v>5583.7</v>
      </c>
      <c r="H72" s="32">
        <v>0</v>
      </c>
      <c r="I72" s="32">
        <v>0</v>
      </c>
      <c r="J72" s="32">
        <v>0</v>
      </c>
      <c r="K72" s="32">
        <v>0</v>
      </c>
      <c r="L72" s="32">
        <f>2646.8624/1.04</f>
        <v>2545.06</v>
      </c>
      <c r="M72" s="32">
        <f>5807.048/1.04</f>
        <v>5583.7</v>
      </c>
      <c r="N72" s="32">
        <v>0</v>
      </c>
      <c r="O72" s="32">
        <v>0</v>
      </c>
      <c r="P72" s="32">
        <v>0</v>
      </c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35.25" customHeight="1" x14ac:dyDescent="0.25">
      <c r="A73" s="17"/>
      <c r="B73" s="76" t="s">
        <v>171</v>
      </c>
      <c r="C73" s="77"/>
      <c r="D73" s="41" t="s">
        <v>207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75" x14ac:dyDescent="0.25">
      <c r="A74" s="17"/>
      <c r="B74" s="82" t="s">
        <v>152</v>
      </c>
      <c r="C74" s="83"/>
      <c r="D74" s="41" t="s">
        <v>207</v>
      </c>
      <c r="E74" s="32">
        <v>0</v>
      </c>
      <c r="F74" s="32">
        <f>1009.8192/1.04</f>
        <v>970.98</v>
      </c>
      <c r="G74" s="32">
        <f>1009.8192/1.04</f>
        <v>970.98</v>
      </c>
      <c r="H74" s="32">
        <v>0</v>
      </c>
      <c r="I74" s="32">
        <v>0</v>
      </c>
      <c r="J74" s="32">
        <v>0</v>
      </c>
      <c r="K74" s="32">
        <v>0</v>
      </c>
      <c r="L74" s="32">
        <f>1009.8192/1.04</f>
        <v>970.98</v>
      </c>
      <c r="M74" s="32">
        <f>1009.8192/1.04</f>
        <v>970.98</v>
      </c>
      <c r="N74" s="32">
        <v>0</v>
      </c>
      <c r="O74" s="32">
        <v>0</v>
      </c>
      <c r="P74" s="32">
        <v>0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75" x14ac:dyDescent="0.25">
      <c r="A75" s="17"/>
      <c r="B75" s="82" t="s">
        <v>169</v>
      </c>
      <c r="C75" s="83"/>
      <c r="D75" s="41" t="s">
        <v>207</v>
      </c>
      <c r="E75" s="32">
        <v>0</v>
      </c>
      <c r="F75" s="32">
        <f>3178.1152/1.04</f>
        <v>3055.88</v>
      </c>
      <c r="G75" s="32">
        <f>3178.1152/1.04</f>
        <v>3055.88</v>
      </c>
      <c r="H75" s="32">
        <v>0</v>
      </c>
      <c r="I75" s="32">
        <v>0</v>
      </c>
      <c r="J75" s="32">
        <v>0</v>
      </c>
      <c r="K75" s="32">
        <v>0</v>
      </c>
      <c r="L75" s="32">
        <f>3178.1152/1.04</f>
        <v>3055.88</v>
      </c>
      <c r="M75" s="32">
        <f>3178.1152/1.04</f>
        <v>3055.88</v>
      </c>
      <c r="N75" s="32">
        <v>0</v>
      </c>
      <c r="O75" s="32">
        <v>0</v>
      </c>
      <c r="P75" s="32">
        <v>0</v>
      </c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75" x14ac:dyDescent="0.25">
      <c r="A76" s="17"/>
      <c r="B76" s="82" t="s">
        <v>155</v>
      </c>
      <c r="C76" s="83"/>
      <c r="D76" s="41" t="s">
        <v>207</v>
      </c>
      <c r="E76" s="32"/>
      <c r="F76" s="32"/>
      <c r="G76" s="32"/>
      <c r="H76" s="32">
        <v>0</v>
      </c>
      <c r="I76" s="32">
        <v>0</v>
      </c>
      <c r="J76" s="32">
        <v>0</v>
      </c>
      <c r="K76" s="32">
        <v>0</v>
      </c>
      <c r="L76" s="32">
        <f>4056.4056/1.04</f>
        <v>3900.39</v>
      </c>
      <c r="M76" s="32">
        <f>4056.4056/1.04</f>
        <v>3900.39</v>
      </c>
      <c r="N76" s="32">
        <v>0</v>
      </c>
      <c r="O76" s="32">
        <v>0</v>
      </c>
      <c r="P76" s="32">
        <v>0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75" x14ac:dyDescent="0.25">
      <c r="A77" s="17"/>
      <c r="B77" s="82" t="s">
        <v>170</v>
      </c>
      <c r="C77" s="83"/>
      <c r="D77" s="41" t="s">
        <v>207</v>
      </c>
      <c r="E77" s="32">
        <v>0</v>
      </c>
      <c r="F77" s="32">
        <f>4872.2752/1.04</f>
        <v>4684.88</v>
      </c>
      <c r="G77" s="32">
        <f>4872.2752/1.04</f>
        <v>4684.88</v>
      </c>
      <c r="H77" s="32">
        <v>0</v>
      </c>
      <c r="I77" s="32">
        <v>0</v>
      </c>
      <c r="J77" s="32">
        <v>0</v>
      </c>
      <c r="K77" s="32">
        <v>0</v>
      </c>
      <c r="L77" s="32">
        <f t="shared" ref="L77:M77" si="3">4872.2752/1.04</f>
        <v>4684.88</v>
      </c>
      <c r="M77" s="32">
        <f t="shared" si="3"/>
        <v>4684.88</v>
      </c>
      <c r="N77" s="32">
        <v>0</v>
      </c>
      <c r="O77" s="32">
        <v>0</v>
      </c>
      <c r="P77" s="32">
        <v>0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s="51" customFormat="1" ht="48" customHeight="1" x14ac:dyDescent="0.25">
      <c r="A78" s="48"/>
      <c r="B78" s="76" t="s">
        <v>172</v>
      </c>
      <c r="C78" s="77"/>
      <c r="D78" s="49" t="s">
        <v>207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</row>
    <row r="79" spans="1:28" ht="15.75" x14ac:dyDescent="0.25">
      <c r="A79" s="17"/>
      <c r="B79" s="82" t="s">
        <v>152</v>
      </c>
      <c r="C79" s="83"/>
      <c r="D79" s="41" t="s">
        <v>207</v>
      </c>
      <c r="E79" s="32">
        <v>0</v>
      </c>
      <c r="F79" s="32">
        <f>1908.1088/1.04</f>
        <v>1834.7199999999998</v>
      </c>
      <c r="G79" s="32">
        <f>1360.9336/1.04</f>
        <v>1308.5899999999999</v>
      </c>
      <c r="H79" s="32">
        <v>0</v>
      </c>
      <c r="I79" s="32">
        <v>0</v>
      </c>
      <c r="J79" s="32">
        <v>0</v>
      </c>
      <c r="K79" s="32">
        <v>0</v>
      </c>
      <c r="L79" s="32">
        <f>1908.1088/1.04</f>
        <v>1834.7199999999998</v>
      </c>
      <c r="M79" s="32">
        <f>1360.9336/1.04</f>
        <v>1308.5899999999999</v>
      </c>
      <c r="N79" s="32">
        <v>0</v>
      </c>
      <c r="O79" s="32">
        <v>0</v>
      </c>
      <c r="P79" s="32">
        <v>0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75" x14ac:dyDescent="0.25">
      <c r="A80" s="17"/>
      <c r="B80" s="82" t="s">
        <v>169</v>
      </c>
      <c r="C80" s="83"/>
      <c r="D80" s="41" t="s">
        <v>207</v>
      </c>
      <c r="E80" s="32">
        <v>0</v>
      </c>
      <c r="F80" s="32">
        <f>3165.8016/1.04</f>
        <v>3044.0399999999995</v>
      </c>
      <c r="G80" s="32">
        <f>2786.7112/1.04</f>
        <v>2679.53</v>
      </c>
      <c r="H80" s="32">
        <v>0</v>
      </c>
      <c r="I80" s="32">
        <v>0</v>
      </c>
      <c r="J80" s="32">
        <v>0</v>
      </c>
      <c r="K80" s="32">
        <v>0</v>
      </c>
      <c r="L80" s="32">
        <f>3165.8016/1.04</f>
        <v>3044.0399999999995</v>
      </c>
      <c r="M80" s="32">
        <f>2786.7112/1.04</f>
        <v>2679.53</v>
      </c>
      <c r="N80" s="32">
        <v>0</v>
      </c>
      <c r="O80" s="32">
        <v>0</v>
      </c>
      <c r="P80" s="32">
        <v>0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75" x14ac:dyDescent="0.25">
      <c r="A81" s="17"/>
      <c r="B81" s="82" t="s">
        <v>155</v>
      </c>
      <c r="C81" s="83"/>
      <c r="D81" s="41" t="s">
        <v>207</v>
      </c>
      <c r="E81" s="32">
        <v>0</v>
      </c>
      <c r="F81" s="32">
        <f>3275.8648/1.04</f>
        <v>3149.87</v>
      </c>
      <c r="G81" s="32">
        <f>3275.8648/1.04</f>
        <v>3149.87</v>
      </c>
      <c r="H81" s="32">
        <v>0</v>
      </c>
      <c r="I81" s="32">
        <v>0</v>
      </c>
      <c r="J81" s="32">
        <v>0</v>
      </c>
      <c r="K81" s="32">
        <v>0</v>
      </c>
      <c r="L81" s="32">
        <f>3275.8648/1.04</f>
        <v>3149.87</v>
      </c>
      <c r="M81" s="32">
        <f>3275.8648/1.04</f>
        <v>3149.87</v>
      </c>
      <c r="N81" s="32">
        <v>0</v>
      </c>
      <c r="O81" s="32">
        <v>0</v>
      </c>
      <c r="P81" s="32">
        <v>0</v>
      </c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75" x14ac:dyDescent="0.25">
      <c r="A82" s="17"/>
      <c r="B82" s="82" t="s">
        <v>170</v>
      </c>
      <c r="C82" s="83"/>
      <c r="D82" s="41" t="s">
        <v>207</v>
      </c>
      <c r="E82" s="32">
        <v>0</v>
      </c>
      <c r="F82" s="32">
        <f>4844.7568/1.04</f>
        <v>4658.42</v>
      </c>
      <c r="G82" s="32">
        <f>4844.7568/1.04</f>
        <v>4658.42</v>
      </c>
      <c r="H82" s="32">
        <v>0</v>
      </c>
      <c r="I82" s="32">
        <v>0</v>
      </c>
      <c r="J82" s="32">
        <v>0</v>
      </c>
      <c r="K82" s="32">
        <v>0</v>
      </c>
      <c r="L82" s="32">
        <f>4844.7568/1.04</f>
        <v>4658.42</v>
      </c>
      <c r="M82" s="32">
        <f>4844.7568/1.04</f>
        <v>4658.42</v>
      </c>
      <c r="N82" s="32">
        <v>0</v>
      </c>
      <c r="O82" s="32">
        <v>0</v>
      </c>
      <c r="P82" s="32">
        <v>0</v>
      </c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39" customHeight="1" x14ac:dyDescent="0.25">
      <c r="A83" s="17"/>
      <c r="B83" s="76" t="s">
        <v>173</v>
      </c>
      <c r="C83" s="77"/>
      <c r="D83" s="41" t="s">
        <v>207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75" x14ac:dyDescent="0.25">
      <c r="A84" s="17"/>
      <c r="B84" s="82" t="s">
        <v>152</v>
      </c>
      <c r="C84" s="83"/>
      <c r="D84" s="41" t="s">
        <v>207</v>
      </c>
      <c r="E84" s="32">
        <v>0</v>
      </c>
      <c r="F84" s="32">
        <f>4267.2968/1.04</f>
        <v>4103.17</v>
      </c>
      <c r="G84" s="32">
        <f>1360.9336/1.04</f>
        <v>1308.5899999999999</v>
      </c>
      <c r="H84" s="32">
        <v>0</v>
      </c>
      <c r="I84" s="32">
        <v>0</v>
      </c>
      <c r="J84" s="32">
        <v>0</v>
      </c>
      <c r="K84" s="32">
        <v>0</v>
      </c>
      <c r="L84" s="32">
        <f>4267.2968/1.04</f>
        <v>4103.17</v>
      </c>
      <c r="M84" s="32">
        <f>1360.9336/1.04</f>
        <v>1308.5899999999999</v>
      </c>
      <c r="N84" s="32">
        <v>0</v>
      </c>
      <c r="O84" s="32">
        <v>0</v>
      </c>
      <c r="P84" s="32">
        <v>0</v>
      </c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75" x14ac:dyDescent="0.25">
      <c r="A85" s="17"/>
      <c r="B85" s="82" t="s">
        <v>169</v>
      </c>
      <c r="C85" s="83"/>
      <c r="D85" s="41" t="s">
        <v>207</v>
      </c>
      <c r="E85" s="32">
        <v>0</v>
      </c>
      <c r="F85" s="32">
        <f>3236.7296/1.04</f>
        <v>3112.24</v>
      </c>
      <c r="G85" s="32">
        <f>2107.664/1.04</f>
        <v>2026.6000000000001</v>
      </c>
      <c r="H85" s="32">
        <v>0</v>
      </c>
      <c r="I85" s="32">
        <v>0</v>
      </c>
      <c r="J85" s="32">
        <v>0</v>
      </c>
      <c r="K85" s="32">
        <v>0</v>
      </c>
      <c r="L85" s="32">
        <f>3236.7296/1.04</f>
        <v>3112.24</v>
      </c>
      <c r="M85" s="32">
        <f>2107.664/1.04</f>
        <v>2026.6000000000001</v>
      </c>
      <c r="N85" s="32">
        <v>0</v>
      </c>
      <c r="O85" s="32">
        <v>0</v>
      </c>
      <c r="P85" s="32">
        <v>0</v>
      </c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75" x14ac:dyDescent="0.25">
      <c r="A86" s="17"/>
      <c r="B86" s="82" t="s">
        <v>155</v>
      </c>
      <c r="C86" s="83"/>
      <c r="D86" s="41" t="s">
        <v>207</v>
      </c>
      <c r="E86" s="32">
        <v>0</v>
      </c>
      <c r="F86" s="32">
        <f>3199.8096/1.04</f>
        <v>3076.74</v>
      </c>
      <c r="G86" s="32">
        <f>3199.8096/1.04</f>
        <v>3076.74</v>
      </c>
      <c r="H86" s="32">
        <v>0</v>
      </c>
      <c r="I86" s="32">
        <v>0</v>
      </c>
      <c r="J86" s="32">
        <v>0</v>
      </c>
      <c r="K86" s="32">
        <v>0</v>
      </c>
      <c r="L86" s="32">
        <f>3199.8096/1.04</f>
        <v>3076.74</v>
      </c>
      <c r="M86" s="32">
        <f>3199.8096/1.04</f>
        <v>3076.74</v>
      </c>
      <c r="N86" s="32">
        <v>0</v>
      </c>
      <c r="O86" s="32">
        <v>0</v>
      </c>
      <c r="P86" s="32">
        <v>0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75" x14ac:dyDescent="0.25">
      <c r="A87" s="17"/>
      <c r="B87" s="82" t="s">
        <v>170</v>
      </c>
      <c r="C87" s="83"/>
      <c r="D87" s="41" t="s">
        <v>207</v>
      </c>
      <c r="E87" s="32">
        <v>0</v>
      </c>
      <c r="F87" s="32">
        <f>4331.9952/1.04</f>
        <v>4165.38</v>
      </c>
      <c r="G87" s="32">
        <f>3418.116/1.04</f>
        <v>3286.65</v>
      </c>
      <c r="H87" s="32">
        <v>0</v>
      </c>
      <c r="I87" s="32">
        <v>0</v>
      </c>
      <c r="J87" s="32">
        <v>0</v>
      </c>
      <c r="K87" s="32">
        <v>0</v>
      </c>
      <c r="L87" s="32">
        <f>4331.9952/1.04</f>
        <v>4165.38</v>
      </c>
      <c r="M87" s="32">
        <f>3418.116/1.04</f>
        <v>3286.65</v>
      </c>
      <c r="N87" s="32">
        <v>0</v>
      </c>
      <c r="O87" s="32">
        <v>0</v>
      </c>
      <c r="P87" s="32">
        <v>0</v>
      </c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33" customHeight="1" x14ac:dyDescent="0.25">
      <c r="A88" s="17"/>
      <c r="B88" s="76" t="s">
        <v>174</v>
      </c>
      <c r="C88" s="77"/>
      <c r="D88" s="41" t="s">
        <v>207</v>
      </c>
      <c r="E88" s="32"/>
      <c r="F88" s="32"/>
      <c r="G88" s="32"/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75" x14ac:dyDescent="0.25">
      <c r="A89" s="17"/>
      <c r="B89" s="82" t="s">
        <v>152</v>
      </c>
      <c r="C89" s="83"/>
      <c r="D89" s="41" t="s">
        <v>207</v>
      </c>
      <c r="E89" s="32">
        <v>0</v>
      </c>
      <c r="F89" s="32">
        <f>4331.9952/1.04</f>
        <v>4165.38</v>
      </c>
      <c r="G89" s="32">
        <f>3418.116/1.04</f>
        <v>3286.65</v>
      </c>
      <c r="H89" s="32">
        <v>0</v>
      </c>
      <c r="I89" s="32">
        <v>0</v>
      </c>
      <c r="J89" s="32">
        <v>0</v>
      </c>
      <c r="K89" s="32">
        <v>0</v>
      </c>
      <c r="L89" s="32">
        <f>4331.9952/1.04</f>
        <v>4165.38</v>
      </c>
      <c r="M89" s="32">
        <f>3418.116/1.04</f>
        <v>3286.65</v>
      </c>
      <c r="N89" s="32">
        <v>0</v>
      </c>
      <c r="O89" s="32">
        <v>0</v>
      </c>
      <c r="P89" s="32">
        <v>0</v>
      </c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30.75" customHeight="1" x14ac:dyDescent="0.25">
      <c r="A90" s="17"/>
      <c r="B90" s="76" t="s">
        <v>175</v>
      </c>
      <c r="C90" s="77"/>
      <c r="D90" s="41" t="s">
        <v>207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75" x14ac:dyDescent="0.25">
      <c r="A91" s="17"/>
      <c r="B91" s="82" t="s">
        <v>169</v>
      </c>
      <c r="C91" s="83"/>
      <c r="D91" s="41" t="s">
        <v>207</v>
      </c>
      <c r="E91" s="32">
        <v>0</v>
      </c>
      <c r="F91" s="32">
        <f>4713.7896/1.04</f>
        <v>4532.49</v>
      </c>
      <c r="G91" s="32">
        <f>4713.7896/1.04</f>
        <v>4532.49</v>
      </c>
      <c r="H91" s="32">
        <v>0</v>
      </c>
      <c r="I91" s="32">
        <v>0</v>
      </c>
      <c r="J91" s="32">
        <v>0</v>
      </c>
      <c r="K91" s="32">
        <v>0</v>
      </c>
      <c r="L91" s="32">
        <f t="shared" ref="L91:M91" si="4">4713.7896/1.04</f>
        <v>4532.49</v>
      </c>
      <c r="M91" s="32">
        <f t="shared" si="4"/>
        <v>4532.49</v>
      </c>
      <c r="N91" s="32">
        <v>0</v>
      </c>
      <c r="O91" s="32">
        <v>0</v>
      </c>
      <c r="P91" s="32">
        <v>0</v>
      </c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75" x14ac:dyDescent="0.25">
      <c r="A92" s="17"/>
      <c r="B92" s="82" t="s">
        <v>155</v>
      </c>
      <c r="C92" s="83"/>
      <c r="D92" s="41" t="s">
        <v>207</v>
      </c>
      <c r="E92" s="32">
        <v>0</v>
      </c>
      <c r="F92" s="32">
        <f>5252.5616/1.04</f>
        <v>5050.54</v>
      </c>
      <c r="G92" s="32">
        <f>5252.5616/1.04</f>
        <v>5050.54</v>
      </c>
      <c r="H92" s="32">
        <v>0</v>
      </c>
      <c r="I92" s="32">
        <v>0</v>
      </c>
      <c r="J92" s="32">
        <v>0</v>
      </c>
      <c r="K92" s="32">
        <v>0</v>
      </c>
      <c r="L92" s="32">
        <f t="shared" ref="L92:M92" si="5">5252.5616/1.04</f>
        <v>5050.54</v>
      </c>
      <c r="M92" s="32">
        <f t="shared" si="5"/>
        <v>5050.54</v>
      </c>
      <c r="N92" s="32">
        <v>0</v>
      </c>
      <c r="O92" s="32">
        <v>0</v>
      </c>
      <c r="P92" s="32">
        <v>0</v>
      </c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75" x14ac:dyDescent="0.25">
      <c r="A93" s="17"/>
      <c r="B93" s="82" t="s">
        <v>170</v>
      </c>
      <c r="C93" s="83"/>
      <c r="D93" s="41" t="s">
        <v>207</v>
      </c>
      <c r="E93" s="32">
        <v>0</v>
      </c>
      <c r="F93" s="32">
        <f>2905.7184/1.04</f>
        <v>2793.96</v>
      </c>
      <c r="G93" s="32">
        <f>2905.7184/1.04</f>
        <v>2793.96</v>
      </c>
      <c r="H93" s="32">
        <v>0</v>
      </c>
      <c r="I93" s="32">
        <v>0</v>
      </c>
      <c r="J93" s="32">
        <v>0</v>
      </c>
      <c r="K93" s="32">
        <v>0</v>
      </c>
      <c r="L93" s="32">
        <f t="shared" ref="L93:M93" si="6">2905.7184/1.04</f>
        <v>2793.96</v>
      </c>
      <c r="M93" s="32">
        <f t="shared" si="6"/>
        <v>2793.96</v>
      </c>
      <c r="N93" s="32">
        <v>0</v>
      </c>
      <c r="O93" s="32">
        <v>0</v>
      </c>
      <c r="P93" s="32">
        <v>0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s="51" customFormat="1" ht="46.5" customHeight="1" x14ac:dyDescent="0.25">
      <c r="A94" s="48"/>
      <c r="B94" s="76" t="s">
        <v>176</v>
      </c>
      <c r="C94" s="77"/>
      <c r="D94" s="49" t="s">
        <v>207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</row>
    <row r="95" spans="1:28" ht="15.75" x14ac:dyDescent="0.25">
      <c r="A95" s="17"/>
      <c r="B95" s="82" t="s">
        <v>169</v>
      </c>
      <c r="C95" s="83"/>
      <c r="D95" s="41" t="s">
        <v>207</v>
      </c>
      <c r="E95" s="32">
        <v>0</v>
      </c>
      <c r="F95" s="32">
        <v>0</v>
      </c>
      <c r="G95" s="32">
        <v>0</v>
      </c>
      <c r="H95" s="32">
        <v>0</v>
      </c>
      <c r="I95" s="32">
        <f>2560.5112/1.04</f>
        <v>2462.0299999999997</v>
      </c>
      <c r="J95" s="32">
        <f>2560.5112/1.04</f>
        <v>2462.0299999999997</v>
      </c>
      <c r="K95" s="32">
        <v>0</v>
      </c>
      <c r="L95" s="32">
        <v>0</v>
      </c>
      <c r="M95" s="32">
        <v>0</v>
      </c>
      <c r="N95" s="32">
        <v>0</v>
      </c>
      <c r="O95" s="32">
        <f t="shared" ref="O95:P95" si="7">2560.5112/1.04</f>
        <v>2462.0299999999997</v>
      </c>
      <c r="P95" s="32">
        <f t="shared" si="7"/>
        <v>2462.0299999999997</v>
      </c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75" x14ac:dyDescent="0.25">
      <c r="A96" s="17"/>
      <c r="B96" s="82" t="s">
        <v>155</v>
      </c>
      <c r="C96" s="83"/>
      <c r="D96" s="41" t="s">
        <v>207</v>
      </c>
      <c r="E96" s="32">
        <v>0</v>
      </c>
      <c r="F96" s="32">
        <v>0</v>
      </c>
      <c r="G96" s="32">
        <v>0</v>
      </c>
      <c r="H96" s="32">
        <v>0</v>
      </c>
      <c r="I96" s="32">
        <f>4120.5944/1.04</f>
        <v>3962.1099999999997</v>
      </c>
      <c r="J96" s="32">
        <f>2533.8664/1.04</f>
        <v>2436.41</v>
      </c>
      <c r="K96" s="32">
        <v>0</v>
      </c>
      <c r="L96" s="32">
        <v>0</v>
      </c>
      <c r="M96" s="32">
        <v>0</v>
      </c>
      <c r="N96" s="32">
        <v>0</v>
      </c>
      <c r="O96" s="32">
        <f>4120.5944/1.04</f>
        <v>3962.1099999999997</v>
      </c>
      <c r="P96" s="32">
        <f>2533.8664/1.04</f>
        <v>2436.41</v>
      </c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75" x14ac:dyDescent="0.25">
      <c r="A97" s="17"/>
      <c r="B97" s="82" t="s">
        <v>170</v>
      </c>
      <c r="C97" s="83"/>
      <c r="D97" s="41" t="s">
        <v>207</v>
      </c>
      <c r="E97" s="32">
        <v>0</v>
      </c>
      <c r="F97" s="32">
        <v>0</v>
      </c>
      <c r="G97" s="32">
        <v>0</v>
      </c>
      <c r="H97" s="32">
        <v>0</v>
      </c>
      <c r="I97" s="32">
        <f>5649.332/1.04</f>
        <v>5432.05</v>
      </c>
      <c r="J97" s="32">
        <f>12420.2728/1.04</f>
        <v>11942.57</v>
      </c>
      <c r="K97" s="32">
        <v>0</v>
      </c>
      <c r="L97" s="32">
        <v>0</v>
      </c>
      <c r="M97" s="32">
        <v>0</v>
      </c>
      <c r="N97" s="32">
        <v>0</v>
      </c>
      <c r="O97" s="32">
        <f>5649.332/1.04</f>
        <v>5432.05</v>
      </c>
      <c r="P97" s="32">
        <f>12420.2728/1.04</f>
        <v>11942.57</v>
      </c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36.75" customHeight="1" x14ac:dyDescent="0.25">
      <c r="A98" s="17"/>
      <c r="B98" s="76" t="s">
        <v>177</v>
      </c>
      <c r="C98" s="77"/>
      <c r="D98" s="41" t="s">
        <v>207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75" x14ac:dyDescent="0.25">
      <c r="A99" s="17"/>
      <c r="B99" s="82" t="s">
        <v>152</v>
      </c>
      <c r="C99" s="83"/>
      <c r="D99" s="41" t="s">
        <v>207</v>
      </c>
      <c r="E99" s="32">
        <v>0</v>
      </c>
      <c r="F99" s="32">
        <v>0</v>
      </c>
      <c r="G99" s="32">
        <v>0</v>
      </c>
      <c r="H99" s="32">
        <v>0</v>
      </c>
      <c r="I99" s="32">
        <f>1603.472/1.04</f>
        <v>1541.8</v>
      </c>
      <c r="J99" s="32">
        <f>1603.472/1.04</f>
        <v>1541.8</v>
      </c>
      <c r="K99" s="32">
        <v>0</v>
      </c>
      <c r="L99" s="32">
        <v>0</v>
      </c>
      <c r="M99" s="32">
        <v>0</v>
      </c>
      <c r="N99" s="32">
        <v>0</v>
      </c>
      <c r="O99" s="32">
        <f>1603.472/1.04</f>
        <v>1541.8</v>
      </c>
      <c r="P99" s="32">
        <f>1603.472/1.04</f>
        <v>1541.8</v>
      </c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75" x14ac:dyDescent="0.25">
      <c r="A100" s="17"/>
      <c r="B100" s="82" t="s">
        <v>169</v>
      </c>
      <c r="C100" s="83"/>
      <c r="D100" s="41" t="s">
        <v>207</v>
      </c>
      <c r="E100" s="32"/>
      <c r="F100" s="32"/>
      <c r="G100" s="32"/>
      <c r="H100" s="32">
        <v>0</v>
      </c>
      <c r="I100" s="32">
        <f>8665.332/1.04</f>
        <v>8332.0499999999993</v>
      </c>
      <c r="J100" s="32">
        <f>4459.572/1.04</f>
        <v>4288.05</v>
      </c>
      <c r="K100" s="32">
        <v>0</v>
      </c>
      <c r="L100" s="32">
        <v>0</v>
      </c>
      <c r="M100" s="32">
        <v>0</v>
      </c>
      <c r="N100" s="32">
        <v>0</v>
      </c>
      <c r="O100" s="32">
        <f>8665.332/1.04</f>
        <v>8332.0499999999993</v>
      </c>
      <c r="P100" s="32">
        <f>4459.572/1.04</f>
        <v>4288.05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75" x14ac:dyDescent="0.25">
      <c r="A101" s="17"/>
      <c r="B101" s="82" t="s">
        <v>155</v>
      </c>
      <c r="C101" s="83"/>
      <c r="D101" s="41" t="s">
        <v>207</v>
      </c>
      <c r="E101" s="32">
        <v>0</v>
      </c>
      <c r="F101" s="32">
        <v>0</v>
      </c>
      <c r="G101" s="32">
        <v>0</v>
      </c>
      <c r="H101" s="32">
        <v>0</v>
      </c>
      <c r="I101" s="32">
        <f>1083.6384/1.04</f>
        <v>1041.96</v>
      </c>
      <c r="J101" s="32">
        <f>3798.236/1.04</f>
        <v>3652.1499999999996</v>
      </c>
      <c r="K101" s="32">
        <v>0</v>
      </c>
      <c r="L101" s="32">
        <v>0</v>
      </c>
      <c r="M101" s="32">
        <v>0</v>
      </c>
      <c r="N101" s="32">
        <v>0</v>
      </c>
      <c r="O101" s="32">
        <f>1083.6384/1.04</f>
        <v>1041.96</v>
      </c>
      <c r="P101" s="32">
        <f>3798.236/1.04</f>
        <v>3652.1499999999996</v>
      </c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75" x14ac:dyDescent="0.25">
      <c r="A102" s="17"/>
      <c r="B102" s="82" t="s">
        <v>170</v>
      </c>
      <c r="C102" s="83"/>
      <c r="D102" s="41" t="s">
        <v>207</v>
      </c>
      <c r="E102" s="32">
        <v>0</v>
      </c>
      <c r="F102" s="32">
        <v>0</v>
      </c>
      <c r="G102" s="32">
        <v>0</v>
      </c>
      <c r="H102" s="32">
        <v>0</v>
      </c>
      <c r="I102" s="32">
        <f>3487.0784/1.04</f>
        <v>3352.9599999999996</v>
      </c>
      <c r="J102" s="32">
        <f>3487.0784/1.04</f>
        <v>3352.9599999999996</v>
      </c>
      <c r="K102" s="32">
        <v>0</v>
      </c>
      <c r="L102" s="32">
        <v>0</v>
      </c>
      <c r="M102" s="32">
        <v>0</v>
      </c>
      <c r="N102" s="32">
        <v>0</v>
      </c>
      <c r="O102" s="32">
        <f>3487.0784/1.04</f>
        <v>3352.9599999999996</v>
      </c>
      <c r="P102" s="32">
        <f>3487.0784/1.04</f>
        <v>3352.9599999999996</v>
      </c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48.75" customHeight="1" x14ac:dyDescent="0.25">
      <c r="A103" s="17"/>
      <c r="B103" s="76" t="s">
        <v>178</v>
      </c>
      <c r="C103" s="77"/>
      <c r="D103" s="41" t="s">
        <v>207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75" x14ac:dyDescent="0.25">
      <c r="A104" s="17"/>
      <c r="B104" s="82" t="s">
        <v>152</v>
      </c>
      <c r="C104" s="83"/>
      <c r="D104" s="41" t="s">
        <v>207</v>
      </c>
      <c r="E104" s="32">
        <v>0</v>
      </c>
      <c r="F104" s="32">
        <v>0</v>
      </c>
      <c r="G104" s="32">
        <v>0</v>
      </c>
      <c r="H104" s="32">
        <v>0</v>
      </c>
      <c r="I104" s="32">
        <f>454.7608/1.04</f>
        <v>437.27</v>
      </c>
      <c r="J104" s="32">
        <f>454.7608/1.04</f>
        <v>437.27</v>
      </c>
      <c r="K104" s="32">
        <v>0</v>
      </c>
      <c r="L104" s="32">
        <v>0</v>
      </c>
      <c r="M104" s="32">
        <v>0</v>
      </c>
      <c r="N104" s="32">
        <v>0</v>
      </c>
      <c r="O104" s="32">
        <f>454.7608/1.04</f>
        <v>437.27</v>
      </c>
      <c r="P104" s="32">
        <f>454.7608/1.04</f>
        <v>437.27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75" x14ac:dyDescent="0.25">
      <c r="A105" s="17"/>
      <c r="B105" s="82" t="s">
        <v>169</v>
      </c>
      <c r="C105" s="83"/>
      <c r="D105" s="41" t="s">
        <v>207</v>
      </c>
      <c r="E105" s="32">
        <v>0</v>
      </c>
      <c r="F105" s="32">
        <v>0</v>
      </c>
      <c r="G105" s="32">
        <v>0</v>
      </c>
      <c r="H105" s="32">
        <v>0</v>
      </c>
      <c r="I105" s="32">
        <f>2652.1976/1.04</f>
        <v>2550.19</v>
      </c>
      <c r="J105" s="32">
        <f>2652.1976/1.04</f>
        <v>2550.19</v>
      </c>
      <c r="K105" s="32">
        <v>0</v>
      </c>
      <c r="L105" s="32">
        <v>0</v>
      </c>
      <c r="M105" s="32">
        <v>0</v>
      </c>
      <c r="N105" s="32">
        <v>0</v>
      </c>
      <c r="O105" s="32">
        <f>2652.1976/1.04</f>
        <v>2550.19</v>
      </c>
      <c r="P105" s="32">
        <f>2652.1976/1.04</f>
        <v>2550.19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5.75" x14ac:dyDescent="0.25">
      <c r="A106" s="17"/>
      <c r="B106" s="82" t="s">
        <v>155</v>
      </c>
      <c r="C106" s="83"/>
      <c r="D106" s="41" t="s">
        <v>207</v>
      </c>
      <c r="E106" s="32">
        <v>0</v>
      </c>
      <c r="F106" s="32">
        <v>0</v>
      </c>
      <c r="G106" s="32">
        <v>0</v>
      </c>
      <c r="H106" s="32">
        <v>0</v>
      </c>
      <c r="I106" s="32">
        <f>2262.6864/1.04</f>
        <v>2175.66</v>
      </c>
      <c r="J106" s="32">
        <f>2262.6864/1.04</f>
        <v>2175.66</v>
      </c>
      <c r="K106" s="32">
        <v>0</v>
      </c>
      <c r="L106" s="32">
        <v>0</v>
      </c>
      <c r="M106" s="32">
        <v>0</v>
      </c>
      <c r="N106" s="32">
        <v>0</v>
      </c>
      <c r="O106" s="32">
        <f>2262.6864/1.04</f>
        <v>2175.66</v>
      </c>
      <c r="P106" s="32">
        <f>2262.6864/1.04</f>
        <v>2175.66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75" x14ac:dyDescent="0.25">
      <c r="A107" s="17"/>
      <c r="B107" s="82" t="s">
        <v>170</v>
      </c>
      <c r="C107" s="83"/>
      <c r="D107" s="41" t="s">
        <v>207</v>
      </c>
      <c r="E107" s="32">
        <v>0</v>
      </c>
      <c r="F107" s="32">
        <v>0</v>
      </c>
      <c r="G107" s="32">
        <v>0</v>
      </c>
      <c r="H107" s="32">
        <v>0</v>
      </c>
      <c r="I107" s="32">
        <f>2957.344/1.04</f>
        <v>2843.6</v>
      </c>
      <c r="J107" s="32">
        <f>2957.344/1.04</f>
        <v>2843.6</v>
      </c>
      <c r="K107" s="32">
        <v>0</v>
      </c>
      <c r="L107" s="32">
        <v>0</v>
      </c>
      <c r="M107" s="32">
        <v>0</v>
      </c>
      <c r="N107" s="32">
        <v>0</v>
      </c>
      <c r="O107" s="32">
        <f>2957.344/1.04</f>
        <v>2843.6</v>
      </c>
      <c r="P107" s="32">
        <f>2957.344/1.04</f>
        <v>2843.6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39" customHeight="1" x14ac:dyDescent="0.25">
      <c r="A108" s="17"/>
      <c r="B108" s="76" t="s">
        <v>179</v>
      </c>
      <c r="C108" s="77"/>
      <c r="D108" s="41" t="s">
        <v>207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75" x14ac:dyDescent="0.25">
      <c r="A109" s="17"/>
      <c r="B109" s="82" t="s">
        <v>152</v>
      </c>
      <c r="C109" s="83"/>
      <c r="D109" s="41" t="s">
        <v>207</v>
      </c>
      <c r="E109" s="32">
        <v>0</v>
      </c>
      <c r="F109" s="32">
        <v>0</v>
      </c>
      <c r="G109" s="32">
        <v>0</v>
      </c>
      <c r="H109" s="32">
        <v>0</v>
      </c>
      <c r="I109" s="32">
        <f>2752.5784/1.04</f>
        <v>2646.7099999999996</v>
      </c>
      <c r="J109" s="32">
        <f>2752.5784/1.04</f>
        <v>2646.7099999999996</v>
      </c>
      <c r="K109" s="32">
        <v>0</v>
      </c>
      <c r="L109" s="32">
        <v>0</v>
      </c>
      <c r="M109" s="32">
        <v>0</v>
      </c>
      <c r="N109" s="32">
        <v>0</v>
      </c>
      <c r="O109" s="32">
        <f>2752.5784/1.04</f>
        <v>2646.7099999999996</v>
      </c>
      <c r="P109" s="32">
        <f>2752.5784/1.04</f>
        <v>2646.7099999999996</v>
      </c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75" x14ac:dyDescent="0.25">
      <c r="A110" s="17"/>
      <c r="B110" s="82" t="s">
        <v>169</v>
      </c>
      <c r="C110" s="83"/>
      <c r="D110" s="41" t="s">
        <v>207</v>
      </c>
      <c r="E110" s="32">
        <v>0</v>
      </c>
      <c r="F110" s="32">
        <v>0</v>
      </c>
      <c r="G110" s="32">
        <v>0</v>
      </c>
      <c r="H110" s="32">
        <v>0</v>
      </c>
      <c r="I110" s="32">
        <f>3104.5664/1.04</f>
        <v>2985.16</v>
      </c>
      <c r="J110" s="32">
        <f>2266.3368/1.04</f>
        <v>2179.17</v>
      </c>
      <c r="K110" s="32">
        <v>0</v>
      </c>
      <c r="L110" s="32">
        <v>0</v>
      </c>
      <c r="M110" s="32">
        <v>0</v>
      </c>
      <c r="N110" s="32">
        <v>0</v>
      </c>
      <c r="O110" s="32">
        <f>3104.5664/1.04</f>
        <v>2985.16</v>
      </c>
      <c r="P110" s="32">
        <f>2266.3368/1.04</f>
        <v>2179.17</v>
      </c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75" x14ac:dyDescent="0.25">
      <c r="A111" s="17"/>
      <c r="B111" s="82" t="s">
        <v>155</v>
      </c>
      <c r="C111" s="83"/>
      <c r="D111" s="41" t="s">
        <v>207</v>
      </c>
      <c r="E111" s="32">
        <v>0</v>
      </c>
      <c r="F111" s="32">
        <v>0</v>
      </c>
      <c r="G111" s="32">
        <v>0</v>
      </c>
      <c r="H111" s="32">
        <v>0</v>
      </c>
      <c r="I111" s="32">
        <f>4430.8784/1.04</f>
        <v>4260.4599999999991</v>
      </c>
      <c r="J111" s="32">
        <f>959.5352/1.04</f>
        <v>922.63</v>
      </c>
      <c r="K111" s="32">
        <v>0</v>
      </c>
      <c r="L111" s="32">
        <v>0</v>
      </c>
      <c r="M111" s="32">
        <v>0</v>
      </c>
      <c r="N111" s="32">
        <v>0</v>
      </c>
      <c r="O111" s="32">
        <f>4430.8784/1.04</f>
        <v>4260.4599999999991</v>
      </c>
      <c r="P111" s="32">
        <f>959.5352/1.04</f>
        <v>922.63</v>
      </c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75" x14ac:dyDescent="0.25">
      <c r="A112" s="17"/>
      <c r="B112" s="82" t="s">
        <v>170</v>
      </c>
      <c r="C112" s="83"/>
      <c r="D112" s="41" t="s">
        <v>207</v>
      </c>
      <c r="E112" s="32"/>
      <c r="F112" s="32"/>
      <c r="G112" s="32"/>
      <c r="H112" s="32">
        <v>0</v>
      </c>
      <c r="I112" s="32">
        <f>6699.5552/1.04</f>
        <v>6441.8799999999992</v>
      </c>
      <c r="J112" s="32">
        <f>6699.5552/1.04</f>
        <v>6441.8799999999992</v>
      </c>
      <c r="K112" s="32">
        <v>0</v>
      </c>
      <c r="L112" s="32">
        <v>0</v>
      </c>
      <c r="M112" s="32">
        <v>0</v>
      </c>
      <c r="N112" s="32">
        <v>0</v>
      </c>
      <c r="O112" s="32">
        <f>6699.5552/1.04</f>
        <v>6441.8799999999992</v>
      </c>
      <c r="P112" s="32">
        <f>6699.5552/1.04</f>
        <v>6441.8799999999992</v>
      </c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45.75" customHeight="1" x14ac:dyDescent="0.25">
      <c r="A113" s="17"/>
      <c r="B113" s="76" t="s">
        <v>180</v>
      </c>
      <c r="C113" s="77"/>
      <c r="D113" s="41" t="s">
        <v>207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75" x14ac:dyDescent="0.25">
      <c r="A114" s="17"/>
      <c r="B114" s="82" t="s">
        <v>170</v>
      </c>
      <c r="C114" s="83"/>
      <c r="D114" s="41" t="s">
        <v>207</v>
      </c>
      <c r="E114" s="32">
        <v>0</v>
      </c>
      <c r="F114" s="32">
        <v>0</v>
      </c>
      <c r="G114" s="32">
        <v>0</v>
      </c>
      <c r="H114" s="32">
        <v>0</v>
      </c>
      <c r="I114" s="32">
        <f>5502.328/1.04</f>
        <v>5290.7</v>
      </c>
      <c r="J114" s="32">
        <f>5502.328/1.04</f>
        <v>5290.7</v>
      </c>
      <c r="K114" s="32">
        <v>0</v>
      </c>
      <c r="L114" s="32">
        <v>0</v>
      </c>
      <c r="M114" s="32">
        <v>0</v>
      </c>
      <c r="N114" s="32">
        <v>0</v>
      </c>
      <c r="O114" s="32">
        <f>5502.328/1.04</f>
        <v>5290.7</v>
      </c>
      <c r="P114" s="32">
        <f>5502.328/1.04</f>
        <v>5290.7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45" customHeight="1" x14ac:dyDescent="0.25">
      <c r="A115" s="17"/>
      <c r="B115" s="76" t="s">
        <v>181</v>
      </c>
      <c r="C115" s="77"/>
      <c r="D115" s="41" t="s">
        <v>207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75" x14ac:dyDescent="0.25">
      <c r="A116" s="17"/>
      <c r="B116" s="82" t="s">
        <v>169</v>
      </c>
      <c r="C116" s="83"/>
      <c r="D116" s="41" t="s">
        <v>207</v>
      </c>
      <c r="E116" s="32">
        <v>0</v>
      </c>
      <c r="F116" s="32">
        <v>0</v>
      </c>
      <c r="G116" s="32">
        <v>0</v>
      </c>
      <c r="H116" s="32">
        <v>0</v>
      </c>
      <c r="I116" s="32">
        <f>747.5936/1.04</f>
        <v>718.84</v>
      </c>
      <c r="J116" s="32">
        <f>747.5936/1.04</f>
        <v>718.84</v>
      </c>
      <c r="K116" s="32">
        <v>0</v>
      </c>
      <c r="L116" s="32">
        <v>0</v>
      </c>
      <c r="M116" s="32">
        <v>0</v>
      </c>
      <c r="N116" s="32">
        <v>0</v>
      </c>
      <c r="O116" s="32">
        <f>747.5936/1.04</f>
        <v>718.84</v>
      </c>
      <c r="P116" s="32">
        <f>747.5936/1.04</f>
        <v>718.84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75" x14ac:dyDescent="0.25">
      <c r="A117" s="17"/>
      <c r="B117" s="82" t="s">
        <v>155</v>
      </c>
      <c r="C117" s="83"/>
      <c r="D117" s="41" t="s">
        <v>207</v>
      </c>
      <c r="E117" s="32">
        <v>0</v>
      </c>
      <c r="F117" s="32">
        <v>0</v>
      </c>
      <c r="G117" s="32">
        <v>0</v>
      </c>
      <c r="H117" s="32">
        <v>0</v>
      </c>
      <c r="I117" s="32">
        <f>3285.152/1.04</f>
        <v>3158.7999999999997</v>
      </c>
      <c r="J117" s="32">
        <f>3285.152/1.04</f>
        <v>3158.7999999999997</v>
      </c>
      <c r="K117" s="32">
        <v>0</v>
      </c>
      <c r="L117" s="32">
        <v>0</v>
      </c>
      <c r="M117" s="32">
        <v>0</v>
      </c>
      <c r="N117" s="32">
        <v>0</v>
      </c>
      <c r="O117" s="32">
        <f>3285.152/1.04</f>
        <v>3158.7999999999997</v>
      </c>
      <c r="P117" s="32">
        <f>3285.152/1.04</f>
        <v>3158.7999999999997</v>
      </c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.75" x14ac:dyDescent="0.25">
      <c r="A118" s="17"/>
      <c r="B118" s="82" t="s">
        <v>170</v>
      </c>
      <c r="C118" s="83"/>
      <c r="D118" s="41" t="s">
        <v>207</v>
      </c>
      <c r="E118" s="32">
        <v>0</v>
      </c>
      <c r="F118" s="32">
        <v>0</v>
      </c>
      <c r="G118" s="32">
        <v>0</v>
      </c>
      <c r="H118" s="32">
        <v>0</v>
      </c>
      <c r="I118" s="32">
        <f>498.004/1.04</f>
        <v>478.85</v>
      </c>
      <c r="J118" s="32">
        <f>498.004/1.04</f>
        <v>478.85</v>
      </c>
      <c r="K118" s="32">
        <v>0</v>
      </c>
      <c r="L118" s="32">
        <v>0</v>
      </c>
      <c r="M118" s="32">
        <v>0</v>
      </c>
      <c r="N118" s="32">
        <v>0</v>
      </c>
      <c r="O118" s="32">
        <f>498.004/1.04</f>
        <v>478.85</v>
      </c>
      <c r="P118" s="32">
        <f>498.004/1.04</f>
        <v>478.85</v>
      </c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42.75" customHeight="1" x14ac:dyDescent="0.25">
      <c r="A119" s="17"/>
      <c r="B119" s="76" t="s">
        <v>182</v>
      </c>
      <c r="C119" s="77"/>
      <c r="D119" s="41" t="s">
        <v>207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75" x14ac:dyDescent="0.25">
      <c r="A120" s="17"/>
      <c r="B120" s="82" t="s">
        <v>155</v>
      </c>
      <c r="C120" s="83"/>
      <c r="D120" s="41" t="s">
        <v>207</v>
      </c>
      <c r="E120" s="32">
        <v>0</v>
      </c>
      <c r="F120" s="32">
        <v>0</v>
      </c>
      <c r="G120" s="32">
        <v>0</v>
      </c>
      <c r="H120" s="32">
        <v>0</v>
      </c>
      <c r="I120" s="32">
        <f>15141.1312/1.04</f>
        <v>14558.779999999999</v>
      </c>
      <c r="J120" s="32">
        <f>15141.1312/1.04</f>
        <v>14558.779999999999</v>
      </c>
      <c r="K120" s="32">
        <v>0</v>
      </c>
      <c r="L120" s="32">
        <v>0</v>
      </c>
      <c r="M120" s="32">
        <v>0</v>
      </c>
      <c r="N120" s="32">
        <v>0</v>
      </c>
      <c r="O120" s="32">
        <f t="shared" ref="O120:P120" si="8">15141.1312/1.04</f>
        <v>14558.779999999999</v>
      </c>
      <c r="P120" s="32">
        <f t="shared" si="8"/>
        <v>14558.779999999999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75" x14ac:dyDescent="0.25">
      <c r="A121" s="17"/>
      <c r="B121" s="82" t="s">
        <v>170</v>
      </c>
      <c r="C121" s="83"/>
      <c r="D121" s="41" t="s">
        <v>207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48" customHeight="1" x14ac:dyDescent="0.25">
      <c r="A122" s="17"/>
      <c r="B122" s="76" t="s">
        <v>183</v>
      </c>
      <c r="C122" s="77"/>
      <c r="D122" s="41" t="s">
        <v>207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75" x14ac:dyDescent="0.25">
      <c r="A123" s="17"/>
      <c r="B123" s="82" t="s">
        <v>169</v>
      </c>
      <c r="C123" s="83"/>
      <c r="D123" s="41" t="s">
        <v>207</v>
      </c>
      <c r="E123" s="32">
        <v>0</v>
      </c>
      <c r="F123" s="32">
        <v>0</v>
      </c>
      <c r="G123" s="32">
        <v>0</v>
      </c>
      <c r="H123" s="32">
        <v>0</v>
      </c>
      <c r="I123" s="32">
        <f>1285.544/1.04</f>
        <v>1236.1000000000001</v>
      </c>
      <c r="J123" s="32">
        <f>1285.544/1.04</f>
        <v>1236.1000000000001</v>
      </c>
      <c r="K123" s="32">
        <v>0</v>
      </c>
      <c r="L123" s="32">
        <v>0</v>
      </c>
      <c r="M123" s="32">
        <v>0</v>
      </c>
      <c r="N123" s="32">
        <v>0</v>
      </c>
      <c r="O123" s="32">
        <f>1285.544/1.04</f>
        <v>1236.1000000000001</v>
      </c>
      <c r="P123" s="32">
        <f>1285.544/1.04</f>
        <v>1236.1000000000001</v>
      </c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75" x14ac:dyDescent="0.25">
      <c r="A124" s="17"/>
      <c r="B124" s="82" t="s">
        <v>155</v>
      </c>
      <c r="C124" s="83"/>
      <c r="D124" s="41" t="s">
        <v>207</v>
      </c>
      <c r="E124" s="32"/>
      <c r="F124" s="32"/>
      <c r="G124" s="32"/>
      <c r="H124" s="32">
        <v>0</v>
      </c>
      <c r="I124" s="32">
        <f>6458.244/1.04</f>
        <v>6209.8499999999995</v>
      </c>
      <c r="J124" s="32">
        <f>6458.244/1.04</f>
        <v>6209.8499999999995</v>
      </c>
      <c r="K124" s="32">
        <v>0</v>
      </c>
      <c r="L124" s="32">
        <v>0</v>
      </c>
      <c r="M124" s="32">
        <v>0</v>
      </c>
      <c r="N124" s="32">
        <v>0</v>
      </c>
      <c r="O124" s="32">
        <f>6458.244/1.04</f>
        <v>6209.8499999999995</v>
      </c>
      <c r="P124" s="32">
        <f>6458.244/1.04</f>
        <v>6209.8499999999995</v>
      </c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75" x14ac:dyDescent="0.25">
      <c r="A125" s="17"/>
      <c r="B125" s="82" t="s">
        <v>170</v>
      </c>
      <c r="C125" s="83"/>
      <c r="D125" s="41" t="s">
        <v>207</v>
      </c>
      <c r="E125" s="32">
        <v>0</v>
      </c>
      <c r="F125" s="32">
        <v>0</v>
      </c>
      <c r="G125" s="32">
        <v>0</v>
      </c>
      <c r="H125" s="32">
        <v>0</v>
      </c>
      <c r="I125" s="32">
        <f>2149.68/1.04</f>
        <v>2066.9999999999995</v>
      </c>
      <c r="J125" s="32">
        <f>2149.68/1.04</f>
        <v>2066.9999999999995</v>
      </c>
      <c r="K125" s="32">
        <v>0</v>
      </c>
      <c r="L125" s="32">
        <v>0</v>
      </c>
      <c r="M125" s="32">
        <v>0</v>
      </c>
      <c r="N125" s="32">
        <v>0</v>
      </c>
      <c r="O125" s="32">
        <f>2149.68/1.04</f>
        <v>2066.9999999999995</v>
      </c>
      <c r="P125" s="32">
        <f>2149.68/1.04</f>
        <v>2066.9999999999995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10.25" customHeight="1" x14ac:dyDescent="0.25">
      <c r="A126" s="17" t="s">
        <v>24</v>
      </c>
      <c r="B126" s="84" t="s">
        <v>27</v>
      </c>
      <c r="C126" s="85"/>
      <c r="D126" s="41"/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87" customHeight="1" x14ac:dyDescent="0.25">
      <c r="A127" s="17"/>
      <c r="B127" s="86" t="s">
        <v>184</v>
      </c>
      <c r="C127" s="87"/>
      <c r="D127" s="41" t="s">
        <v>208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75" x14ac:dyDescent="0.25">
      <c r="A128" s="17"/>
      <c r="B128" s="86" t="s">
        <v>185</v>
      </c>
      <c r="C128" s="87"/>
      <c r="D128" s="41" t="s">
        <v>208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75" x14ac:dyDescent="0.25">
      <c r="A129" s="17"/>
      <c r="B129" s="82" t="s">
        <v>186</v>
      </c>
      <c r="C129" s="83"/>
      <c r="D129" s="41" t="s">
        <v>208</v>
      </c>
      <c r="E129" s="32">
        <v>0</v>
      </c>
      <c r="F129" s="32">
        <f>120.7544/1.04</f>
        <v>116.11</v>
      </c>
      <c r="G129" s="32">
        <f>120.7544/1.04</f>
        <v>116.11</v>
      </c>
      <c r="H129" s="32">
        <v>0</v>
      </c>
      <c r="I129" s="32">
        <v>0</v>
      </c>
      <c r="J129" s="32">
        <v>0</v>
      </c>
      <c r="K129" s="32">
        <v>0</v>
      </c>
      <c r="L129" s="32">
        <f t="shared" ref="L129:M129" si="9">120.7544/1.04</f>
        <v>116.11</v>
      </c>
      <c r="M129" s="32">
        <f t="shared" si="9"/>
        <v>116.11</v>
      </c>
      <c r="N129" s="32">
        <v>0</v>
      </c>
      <c r="O129" s="32">
        <v>0</v>
      </c>
      <c r="P129" s="32">
        <v>0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75" x14ac:dyDescent="0.25">
      <c r="A130" s="17"/>
      <c r="B130" s="82" t="s">
        <v>187</v>
      </c>
      <c r="C130" s="83"/>
      <c r="D130" s="41" t="s">
        <v>208</v>
      </c>
      <c r="E130" s="32">
        <v>0</v>
      </c>
      <c r="F130" s="32">
        <f>618.9872/1.04</f>
        <v>595.18000000000006</v>
      </c>
      <c r="G130" s="32">
        <f>618.9872/1.04</f>
        <v>595.18000000000006</v>
      </c>
      <c r="H130" s="32">
        <v>0</v>
      </c>
      <c r="I130" s="32">
        <v>0</v>
      </c>
      <c r="J130" s="32">
        <v>0</v>
      </c>
      <c r="K130" s="32">
        <v>0</v>
      </c>
      <c r="L130" s="32">
        <f t="shared" ref="L130:M130" si="10">618.9872/1.04</f>
        <v>595.18000000000006</v>
      </c>
      <c r="M130" s="32">
        <f t="shared" si="10"/>
        <v>595.18000000000006</v>
      </c>
      <c r="N130" s="32">
        <v>0</v>
      </c>
      <c r="O130" s="32">
        <v>0</v>
      </c>
      <c r="P130" s="32">
        <v>0</v>
      </c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75" x14ac:dyDescent="0.25">
      <c r="A131" s="17"/>
      <c r="B131" s="86" t="s">
        <v>188</v>
      </c>
      <c r="C131" s="87"/>
      <c r="D131" s="41" t="s">
        <v>208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75" x14ac:dyDescent="0.25">
      <c r="A132" s="17"/>
      <c r="B132" s="82" t="s">
        <v>189</v>
      </c>
      <c r="C132" s="83"/>
      <c r="D132" s="41" t="s">
        <v>208</v>
      </c>
      <c r="E132" s="32">
        <v>0</v>
      </c>
      <c r="F132" s="32">
        <f>982.3216/1.04</f>
        <v>944.54</v>
      </c>
      <c r="G132" s="32">
        <f>982.3216/1.04</f>
        <v>944.54</v>
      </c>
      <c r="H132" s="32">
        <v>0</v>
      </c>
      <c r="I132" s="32">
        <v>0</v>
      </c>
      <c r="J132" s="32">
        <v>0</v>
      </c>
      <c r="K132" s="32">
        <v>0</v>
      </c>
      <c r="L132" s="32">
        <f>982.3216/1.04</f>
        <v>944.54</v>
      </c>
      <c r="M132" s="32">
        <f>982.3216/1.04</f>
        <v>944.54</v>
      </c>
      <c r="N132" s="32">
        <v>0</v>
      </c>
      <c r="O132" s="32">
        <v>0</v>
      </c>
      <c r="P132" s="32">
        <v>0</v>
      </c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75" x14ac:dyDescent="0.25">
      <c r="A133" s="17"/>
      <c r="B133" s="82" t="s">
        <v>187</v>
      </c>
      <c r="C133" s="83"/>
      <c r="D133" s="41" t="s">
        <v>208</v>
      </c>
      <c r="E133" s="32">
        <v>0</v>
      </c>
      <c r="F133" s="32">
        <f>6096.4592/1.04</f>
        <v>5861.9800000000005</v>
      </c>
      <c r="G133" s="32">
        <f>6096.4592/1.04</f>
        <v>5861.9800000000005</v>
      </c>
      <c r="H133" s="32">
        <v>0</v>
      </c>
      <c r="I133" s="32">
        <v>0</v>
      </c>
      <c r="J133" s="32">
        <v>0</v>
      </c>
      <c r="K133" s="32">
        <v>0</v>
      </c>
      <c r="L133" s="32">
        <f>6096.4592/1.04</f>
        <v>5861.9800000000005</v>
      </c>
      <c r="M133" s="32">
        <f>6096.4592/1.04</f>
        <v>5861.9800000000005</v>
      </c>
      <c r="N133" s="32">
        <v>0</v>
      </c>
      <c r="O133" s="32">
        <v>0</v>
      </c>
      <c r="P133" s="32">
        <v>0</v>
      </c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75" x14ac:dyDescent="0.25">
      <c r="A134" s="17"/>
      <c r="B134" s="86" t="s">
        <v>190</v>
      </c>
      <c r="C134" s="87"/>
      <c r="D134" s="41" t="s">
        <v>208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75" x14ac:dyDescent="0.25">
      <c r="A135" s="17"/>
      <c r="B135" s="82" t="s">
        <v>186</v>
      </c>
      <c r="C135" s="83"/>
      <c r="D135" s="41" t="s">
        <v>208</v>
      </c>
      <c r="E135" s="32">
        <v>0</v>
      </c>
      <c r="F135" s="32">
        <f>27.1232/1.04</f>
        <v>26.08</v>
      </c>
      <c r="G135" s="32">
        <f>27.1232/1.04</f>
        <v>26.08</v>
      </c>
      <c r="H135" s="32">
        <v>0</v>
      </c>
      <c r="I135" s="32">
        <v>0</v>
      </c>
      <c r="J135" s="32">
        <v>0</v>
      </c>
      <c r="K135" s="32">
        <v>0</v>
      </c>
      <c r="L135" s="32">
        <f>27.1232/1.04</f>
        <v>26.08</v>
      </c>
      <c r="M135" s="32">
        <f>27.1232/1.04</f>
        <v>26.08</v>
      </c>
      <c r="N135" s="32">
        <v>0</v>
      </c>
      <c r="O135" s="32">
        <v>0</v>
      </c>
      <c r="P135" s="32">
        <v>0</v>
      </c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75" x14ac:dyDescent="0.25">
      <c r="A136" s="17"/>
      <c r="B136" s="86" t="s">
        <v>191</v>
      </c>
      <c r="C136" s="87"/>
      <c r="D136" s="41" t="s">
        <v>208</v>
      </c>
      <c r="E136" s="32"/>
      <c r="F136" s="32"/>
      <c r="G136" s="32"/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75" x14ac:dyDescent="0.25">
      <c r="A137" s="17"/>
      <c r="B137" s="82" t="s">
        <v>187</v>
      </c>
      <c r="C137" s="83"/>
      <c r="D137" s="41" t="s">
        <v>208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88.5" customHeight="1" x14ac:dyDescent="0.25">
      <c r="A138" s="17"/>
      <c r="B138" s="86" t="s">
        <v>192</v>
      </c>
      <c r="C138" s="87"/>
      <c r="D138" s="41" t="s">
        <v>209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75" x14ac:dyDescent="0.25">
      <c r="A139" s="17"/>
      <c r="B139" s="86" t="s">
        <v>193</v>
      </c>
      <c r="C139" s="87"/>
      <c r="D139" s="41" t="s">
        <v>209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75" x14ac:dyDescent="0.25">
      <c r="A140" s="17"/>
      <c r="B140" s="82" t="s">
        <v>194</v>
      </c>
      <c r="C140" s="83" t="s">
        <v>194</v>
      </c>
      <c r="D140" s="41" t="s">
        <v>209</v>
      </c>
      <c r="E140" s="32">
        <v>0</v>
      </c>
      <c r="F140" s="32">
        <f>14.3416/1.04</f>
        <v>13.79</v>
      </c>
      <c r="G140" s="32">
        <f>19.8536/1.04</f>
        <v>19.09</v>
      </c>
      <c r="H140" s="32">
        <v>0</v>
      </c>
      <c r="I140" s="32">
        <v>0</v>
      </c>
      <c r="J140" s="32">
        <v>0</v>
      </c>
      <c r="K140" s="32">
        <v>0</v>
      </c>
      <c r="L140" s="32">
        <f>14.3416/1.04</f>
        <v>13.79</v>
      </c>
      <c r="M140" s="32">
        <f>19.8536/1.04</f>
        <v>19.09</v>
      </c>
      <c r="N140" s="32">
        <v>0</v>
      </c>
      <c r="O140" s="32">
        <v>0</v>
      </c>
      <c r="P140" s="32">
        <v>0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75" x14ac:dyDescent="0.25">
      <c r="A141" s="17"/>
      <c r="B141" s="82" t="s">
        <v>195</v>
      </c>
      <c r="C141" s="83" t="s">
        <v>195</v>
      </c>
      <c r="D141" s="41" t="s">
        <v>209</v>
      </c>
      <c r="E141" s="32">
        <v>0</v>
      </c>
      <c r="F141" s="32">
        <f>10.192/1.04</f>
        <v>9.8000000000000007</v>
      </c>
      <c r="G141" s="32">
        <f>11.2008/1.04</f>
        <v>10.77</v>
      </c>
      <c r="H141" s="32">
        <v>0</v>
      </c>
      <c r="I141" s="32">
        <v>0</v>
      </c>
      <c r="J141" s="32">
        <v>0</v>
      </c>
      <c r="K141" s="32">
        <v>0</v>
      </c>
      <c r="L141" s="32">
        <f>10.192/1.04</f>
        <v>9.8000000000000007</v>
      </c>
      <c r="M141" s="32">
        <f>11.2008/1.04</f>
        <v>10.77</v>
      </c>
      <c r="N141" s="32">
        <v>0</v>
      </c>
      <c r="O141" s="32">
        <v>0</v>
      </c>
      <c r="P141" s="32">
        <v>0</v>
      </c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75" x14ac:dyDescent="0.25">
      <c r="A142" s="17"/>
      <c r="B142" s="82" t="s">
        <v>196</v>
      </c>
      <c r="C142" s="83" t="s">
        <v>196</v>
      </c>
      <c r="D142" s="41" t="s">
        <v>209</v>
      </c>
      <c r="E142" s="32">
        <v>0</v>
      </c>
      <c r="F142" s="32">
        <f>6.1256/1.04</f>
        <v>5.8900000000000006</v>
      </c>
      <c r="G142" s="32">
        <f>4.1392/1.04</f>
        <v>3.9799999999999995</v>
      </c>
      <c r="H142" s="32">
        <v>0</v>
      </c>
      <c r="I142" s="32">
        <v>0</v>
      </c>
      <c r="J142" s="32">
        <v>0</v>
      </c>
      <c r="K142" s="32">
        <v>0</v>
      </c>
      <c r="L142" s="32">
        <f>6.1256/1.04</f>
        <v>5.8900000000000006</v>
      </c>
      <c r="M142" s="32">
        <f>4.1392/1.04</f>
        <v>3.9799999999999995</v>
      </c>
      <c r="N142" s="32">
        <v>0</v>
      </c>
      <c r="O142" s="32">
        <v>0</v>
      </c>
      <c r="P142" s="32">
        <v>0</v>
      </c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75" x14ac:dyDescent="0.25">
      <c r="A143" s="17"/>
      <c r="B143" s="82" t="s">
        <v>197</v>
      </c>
      <c r="C143" s="83" t="s">
        <v>197</v>
      </c>
      <c r="D143" s="41" t="s">
        <v>209</v>
      </c>
      <c r="E143" s="32">
        <v>0</v>
      </c>
      <c r="F143" s="32">
        <f>4.3992/1.04</f>
        <v>4.2300000000000004</v>
      </c>
      <c r="G143" s="32">
        <f>9.7656/1.04</f>
        <v>9.3899999999999988</v>
      </c>
      <c r="H143" s="32">
        <v>0</v>
      </c>
      <c r="I143" s="32">
        <v>0</v>
      </c>
      <c r="J143" s="32">
        <v>0</v>
      </c>
      <c r="K143" s="32">
        <v>0</v>
      </c>
      <c r="L143" s="32">
        <f>4.3992/1.04</f>
        <v>4.2300000000000004</v>
      </c>
      <c r="M143" s="32">
        <f>9.7656/1.04</f>
        <v>9.3899999999999988</v>
      </c>
      <c r="N143" s="32">
        <v>0</v>
      </c>
      <c r="O143" s="32">
        <v>0</v>
      </c>
      <c r="P143" s="32">
        <v>0</v>
      </c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75" x14ac:dyDescent="0.25">
      <c r="A144" s="17"/>
      <c r="B144" s="82" t="s">
        <v>198</v>
      </c>
      <c r="C144" s="83" t="s">
        <v>198</v>
      </c>
      <c r="D144" s="41" t="s">
        <v>209</v>
      </c>
      <c r="E144" s="32">
        <v>0</v>
      </c>
      <c r="F144" s="32">
        <f>26.7592/1.04</f>
        <v>25.73</v>
      </c>
      <c r="G144" s="32">
        <f>3.0888/1.04</f>
        <v>2.9699999999999998</v>
      </c>
      <c r="H144" s="32">
        <v>0</v>
      </c>
      <c r="I144" s="32">
        <v>0</v>
      </c>
      <c r="J144" s="32">
        <v>0</v>
      </c>
      <c r="K144" s="32">
        <v>0</v>
      </c>
      <c r="L144" s="32">
        <f>26.7592/1.04</f>
        <v>25.73</v>
      </c>
      <c r="M144" s="32">
        <f>3.0888/1.04</f>
        <v>2.9699999999999998</v>
      </c>
      <c r="N144" s="32">
        <v>0</v>
      </c>
      <c r="O144" s="32">
        <v>0</v>
      </c>
      <c r="P144" s="32">
        <v>0</v>
      </c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75" x14ac:dyDescent="0.25">
      <c r="A145" s="17"/>
      <c r="B145" s="82" t="s">
        <v>199</v>
      </c>
      <c r="C145" s="83" t="s">
        <v>199</v>
      </c>
      <c r="D145" s="41" t="s">
        <v>209</v>
      </c>
      <c r="E145" s="32">
        <v>0</v>
      </c>
      <c r="F145" s="32">
        <f>1.5496/1.04</f>
        <v>1.49</v>
      </c>
      <c r="G145" s="32">
        <f>1.5496/1.04</f>
        <v>1.49</v>
      </c>
      <c r="H145" s="32">
        <v>0</v>
      </c>
      <c r="I145" s="32">
        <v>0</v>
      </c>
      <c r="J145" s="32">
        <v>0</v>
      </c>
      <c r="K145" s="32">
        <v>0</v>
      </c>
      <c r="L145" s="32">
        <f>1.5496/1.04</f>
        <v>1.49</v>
      </c>
      <c r="M145" s="32">
        <f>1.5496/1.04</f>
        <v>1.49</v>
      </c>
      <c r="N145" s="32">
        <v>0</v>
      </c>
      <c r="O145" s="32">
        <v>0</v>
      </c>
      <c r="P145" s="32">
        <v>0</v>
      </c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26.25" customHeight="1" x14ac:dyDescent="0.25">
      <c r="A146" s="17"/>
      <c r="B146" s="86" t="s">
        <v>200</v>
      </c>
      <c r="C146" s="87"/>
      <c r="D146" s="41" t="s">
        <v>209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75" x14ac:dyDescent="0.25">
      <c r="A147" s="17"/>
      <c r="B147" s="82" t="s">
        <v>196</v>
      </c>
      <c r="C147" s="83" t="s">
        <v>196</v>
      </c>
      <c r="D147" s="41" t="s">
        <v>209</v>
      </c>
      <c r="E147" s="32">
        <v>0</v>
      </c>
      <c r="F147" s="32">
        <f>25.9792/1.04</f>
        <v>24.979999999999997</v>
      </c>
      <c r="G147" s="32">
        <f>25.9792/1.04</f>
        <v>24.979999999999997</v>
      </c>
      <c r="H147" s="32">
        <v>0</v>
      </c>
      <c r="I147" s="32">
        <v>0</v>
      </c>
      <c r="J147" s="32">
        <v>0</v>
      </c>
      <c r="K147" s="32">
        <v>0</v>
      </c>
      <c r="L147" s="32">
        <f>25.9792/1.04</f>
        <v>24.979999999999997</v>
      </c>
      <c r="M147" s="32">
        <f>25.9792/1.04</f>
        <v>24.979999999999997</v>
      </c>
      <c r="N147" s="32">
        <v>0</v>
      </c>
      <c r="O147" s="32">
        <v>0</v>
      </c>
      <c r="P147" s="32">
        <v>0</v>
      </c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75" x14ac:dyDescent="0.25">
      <c r="A148" s="17"/>
      <c r="B148" s="82" t="s">
        <v>197</v>
      </c>
      <c r="C148" s="83" t="s">
        <v>197</v>
      </c>
      <c r="D148" s="41" t="s">
        <v>209</v>
      </c>
      <c r="E148" s="32"/>
      <c r="F148" s="32"/>
      <c r="G148" s="32"/>
      <c r="H148" s="32">
        <v>0</v>
      </c>
      <c r="I148" s="32">
        <v>0</v>
      </c>
      <c r="J148" s="32">
        <v>0</v>
      </c>
      <c r="K148" s="32">
        <v>0</v>
      </c>
      <c r="L148" s="32">
        <f>28.5688/1.04</f>
        <v>27.47</v>
      </c>
      <c r="M148" s="32">
        <f>28.5688/1.04</f>
        <v>27.47</v>
      </c>
      <c r="N148" s="32">
        <v>0</v>
      </c>
      <c r="O148" s="32">
        <v>0</v>
      </c>
      <c r="P148" s="32">
        <v>0</v>
      </c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75" x14ac:dyDescent="0.25">
      <c r="A149" s="17"/>
      <c r="B149" s="82" t="s">
        <v>198</v>
      </c>
      <c r="C149" s="83" t="s">
        <v>198</v>
      </c>
      <c r="D149" s="41" t="s">
        <v>209</v>
      </c>
      <c r="E149" s="32">
        <v>0</v>
      </c>
      <c r="F149" s="32">
        <f>14.3208/1.04</f>
        <v>13.77</v>
      </c>
      <c r="G149" s="32">
        <f>4.9504/1.04</f>
        <v>4.76</v>
      </c>
      <c r="H149" s="32">
        <v>0</v>
      </c>
      <c r="I149" s="32">
        <v>0</v>
      </c>
      <c r="J149" s="32">
        <v>0</v>
      </c>
      <c r="K149" s="32">
        <v>0</v>
      </c>
      <c r="L149" s="32">
        <f>14.3208/1.04</f>
        <v>13.77</v>
      </c>
      <c r="M149" s="32">
        <f>4.9504/1.04</f>
        <v>4.76</v>
      </c>
      <c r="N149" s="32">
        <v>0</v>
      </c>
      <c r="O149" s="32">
        <v>0</v>
      </c>
      <c r="P149" s="32">
        <v>0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75" x14ac:dyDescent="0.25">
      <c r="A150" s="17"/>
      <c r="B150" s="82" t="s">
        <v>199</v>
      </c>
      <c r="C150" s="83" t="s">
        <v>199</v>
      </c>
      <c r="D150" s="41" t="s">
        <v>209</v>
      </c>
      <c r="E150" s="32">
        <v>0</v>
      </c>
      <c r="F150" s="32">
        <f>7.02/1.04</f>
        <v>6.7499999999999991</v>
      </c>
      <c r="G150" s="32">
        <f>7.02/1.04</f>
        <v>6.7499999999999991</v>
      </c>
      <c r="H150" s="32">
        <v>0</v>
      </c>
      <c r="I150" s="32">
        <v>0</v>
      </c>
      <c r="J150" s="32">
        <v>0</v>
      </c>
      <c r="K150" s="32">
        <v>0</v>
      </c>
      <c r="L150" s="32">
        <f t="shared" ref="L150:M150" si="11">7.02/1.04</f>
        <v>6.7499999999999991</v>
      </c>
      <c r="M150" s="32">
        <f t="shared" si="11"/>
        <v>6.7499999999999991</v>
      </c>
      <c r="N150" s="32">
        <v>0</v>
      </c>
      <c r="O150" s="32">
        <v>0</v>
      </c>
      <c r="P150" s="32">
        <v>0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70.5" customHeight="1" x14ac:dyDescent="0.25">
      <c r="A151" s="17"/>
      <c r="B151" s="86" t="s">
        <v>201</v>
      </c>
      <c r="C151" s="87"/>
      <c r="D151" s="41" t="s">
        <v>209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75" x14ac:dyDescent="0.25">
      <c r="A152" s="17"/>
      <c r="B152" s="86" t="s">
        <v>193</v>
      </c>
      <c r="C152" s="87"/>
      <c r="D152" s="41" t="s">
        <v>209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75" x14ac:dyDescent="0.25">
      <c r="A153" s="17"/>
      <c r="B153" s="82" t="s">
        <v>199</v>
      </c>
      <c r="C153" s="83" t="s">
        <v>195</v>
      </c>
      <c r="D153" s="41" t="s">
        <v>209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83.25" customHeight="1" x14ac:dyDescent="0.25">
      <c r="A154" s="17"/>
      <c r="B154" s="86" t="s">
        <v>202</v>
      </c>
      <c r="C154" s="87"/>
      <c r="D154" s="41" t="s">
        <v>209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75" customHeight="1" x14ac:dyDescent="0.25">
      <c r="A155" s="17"/>
      <c r="B155" s="88" t="s">
        <v>203</v>
      </c>
      <c r="C155" s="89"/>
      <c r="D155" s="41" t="s">
        <v>209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75" x14ac:dyDescent="0.25">
      <c r="A156" s="17"/>
      <c r="B156" s="82" t="s">
        <v>195</v>
      </c>
      <c r="C156" s="83" t="s">
        <v>195</v>
      </c>
      <c r="D156" s="41" t="s">
        <v>209</v>
      </c>
      <c r="E156" s="32">
        <v>0</v>
      </c>
      <c r="F156" s="32">
        <f>63.7/1.04</f>
        <v>61.25</v>
      </c>
      <c r="G156" s="32">
        <f>63.7/1.04</f>
        <v>61.25</v>
      </c>
      <c r="H156" s="32">
        <v>0</v>
      </c>
      <c r="I156" s="32">
        <v>0</v>
      </c>
      <c r="J156" s="32">
        <v>0</v>
      </c>
      <c r="K156" s="32">
        <v>0</v>
      </c>
      <c r="L156" s="32">
        <f t="shared" ref="L156:M156" si="12">63.7/1.04</f>
        <v>61.25</v>
      </c>
      <c r="M156" s="32">
        <f t="shared" si="12"/>
        <v>61.25</v>
      </c>
      <c r="N156" s="32">
        <v>0</v>
      </c>
      <c r="O156" s="32">
        <v>0</v>
      </c>
      <c r="P156" s="32">
        <v>0</v>
      </c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75" customHeight="1" x14ac:dyDescent="0.25">
      <c r="A157" s="17"/>
      <c r="B157" s="88" t="s">
        <v>204</v>
      </c>
      <c r="C157" s="89"/>
      <c r="D157" s="41" t="s">
        <v>209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75" x14ac:dyDescent="0.25">
      <c r="A158" s="17"/>
      <c r="B158" s="82" t="s">
        <v>199</v>
      </c>
      <c r="C158" s="83" t="s">
        <v>195</v>
      </c>
      <c r="D158" s="41" t="s">
        <v>209</v>
      </c>
      <c r="E158" s="32">
        <v>0</v>
      </c>
      <c r="F158" s="32">
        <f>8.4552/1.04</f>
        <v>8.129999999999999</v>
      </c>
      <c r="G158" s="32">
        <f>8.4552/1.04</f>
        <v>8.129999999999999</v>
      </c>
      <c r="H158" s="32">
        <v>0</v>
      </c>
      <c r="I158" s="32">
        <v>0</v>
      </c>
      <c r="J158" s="32">
        <v>0</v>
      </c>
      <c r="K158" s="32">
        <v>0</v>
      </c>
      <c r="L158" s="32">
        <f t="shared" ref="L158:M158" si="13">8.4552/1.04</f>
        <v>8.129999999999999</v>
      </c>
      <c r="M158" s="32">
        <f t="shared" si="13"/>
        <v>8.129999999999999</v>
      </c>
      <c r="N158" s="32">
        <v>0</v>
      </c>
      <c r="O158" s="32">
        <v>0</v>
      </c>
      <c r="P158" s="32">
        <v>0</v>
      </c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62.25" customHeight="1" x14ac:dyDescent="0.25">
      <c r="A159" s="17"/>
      <c r="B159" s="86" t="s">
        <v>205</v>
      </c>
      <c r="C159" s="87"/>
      <c r="D159" s="41" t="s">
        <v>209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75" x14ac:dyDescent="0.25">
      <c r="A160" s="17"/>
      <c r="B160" s="82" t="s">
        <v>206</v>
      </c>
      <c r="C160" s="83" t="s">
        <v>195</v>
      </c>
      <c r="D160" s="41" t="s">
        <v>209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75" x14ac:dyDescent="0.25">
      <c r="A161" s="6"/>
      <c r="B161" s="16"/>
      <c r="C161" s="1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75" x14ac:dyDescent="0.25">
      <c r="A162" s="6" t="s">
        <v>33</v>
      </c>
      <c r="B162" s="16"/>
      <c r="C162" s="1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8" ht="15.75" x14ac:dyDescent="0.25">
      <c r="A163" s="6" t="s">
        <v>34</v>
      </c>
      <c r="B163" s="16"/>
      <c r="C163" s="1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8" ht="23.25" customHeight="1" x14ac:dyDescent="0.25">
      <c r="A164" s="6" t="s">
        <v>35</v>
      </c>
      <c r="B164" s="16"/>
      <c r="C164" s="1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8" ht="15.75" x14ac:dyDescent="0.25">
      <c r="A165" s="6" t="s">
        <v>36</v>
      </c>
      <c r="B165" s="16"/>
      <c r="C165" s="1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8" ht="15.75" x14ac:dyDescent="0.25">
      <c r="A166" s="6"/>
      <c r="B166" s="16"/>
      <c r="C166" s="1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8" ht="15" customHeight="1" x14ac:dyDescent="0.25">
      <c r="A167" s="90" t="s">
        <v>37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</row>
    <row r="168" spans="1:28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</row>
    <row r="169" spans="1:28" ht="15.75" x14ac:dyDescent="0.25">
      <c r="A169" s="6"/>
      <c r="B169" s="16"/>
      <c r="C169" s="1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</sheetData>
  <mergeCells count="160">
    <mergeCell ref="B156:C156"/>
    <mergeCell ref="B157:C157"/>
    <mergeCell ref="B158:C158"/>
    <mergeCell ref="B159:C159"/>
    <mergeCell ref="B160:C160"/>
    <mergeCell ref="A167:P168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N17:P17"/>
    <mergeCell ref="B19:C19"/>
    <mergeCell ref="B20:C20"/>
    <mergeCell ref="B21:C21"/>
    <mergeCell ref="B22:C22"/>
    <mergeCell ref="B23:C23"/>
    <mergeCell ref="A5:P5"/>
    <mergeCell ref="B6:N6"/>
    <mergeCell ref="B7:N7"/>
    <mergeCell ref="B8:N8"/>
    <mergeCell ref="B9:N9"/>
    <mergeCell ref="B10:N10"/>
    <mergeCell ref="B11:N11"/>
    <mergeCell ref="B12:N12"/>
    <mergeCell ref="A15:C18"/>
    <mergeCell ref="D15:D18"/>
    <mergeCell ref="E15:P15"/>
    <mergeCell ref="E16:J16"/>
    <mergeCell ref="K16:P16"/>
    <mergeCell ref="E17:G17"/>
    <mergeCell ref="H17:J17"/>
    <mergeCell ref="K17:M17"/>
  </mergeCells>
  <hyperlinks>
    <hyperlink ref="A22" location="sub_333" display="sub_333"/>
    <hyperlink ref="B22" r:id="rId1" display="garantf1://70129430.1100/"/>
    <hyperlink ref="B51" r:id="rId2" display="garantf1://70129430.1100/"/>
    <hyperlink ref="P2" location="sub_1000" display="sub_1000"/>
    <hyperlink ref="X2" location="sub_1000" display="sub_1000"/>
    <hyperlink ref="A68" location="sub_333" display="sub_333"/>
    <hyperlink ref="B68" r:id="rId3" display="garantf1://70129430.1100/"/>
    <hyperlink ref="A126" location="sub_333" display="sub_333"/>
    <hyperlink ref="B126" r:id="rId4" display="garantf1://70129430.1100/"/>
  </hyperlinks>
  <pageMargins left="0.70866141732283472" right="0.70866141732283472" top="0.74803149606299213" bottom="0.74803149606299213" header="0.31496062992125984" footer="0.31496062992125984"/>
  <pageSetup paperSize="9" scale="31" fitToHeight="0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6"/>
  <sheetViews>
    <sheetView tabSelected="1" view="pageBreakPreview" topLeftCell="A7" zoomScale="80" zoomScaleNormal="100" zoomScaleSheetLayoutView="80" workbookViewId="0">
      <selection activeCell="C19" sqref="C19:D21"/>
    </sheetView>
  </sheetViews>
  <sheetFormatPr defaultRowHeight="15" x14ac:dyDescent="0.25"/>
  <cols>
    <col min="2" max="2" width="42.42578125" customWidth="1"/>
    <col min="3" max="3" width="21.7109375" customWidth="1"/>
    <col min="4" max="4" width="23" customWidth="1"/>
    <col min="5" max="5" width="26" customWidth="1"/>
    <col min="6" max="6" width="14.42578125" customWidth="1"/>
  </cols>
  <sheetData>
    <row r="1" spans="1:5" ht="15.75" x14ac:dyDescent="0.25">
      <c r="A1" s="6"/>
      <c r="B1" s="6"/>
      <c r="C1" s="6"/>
      <c r="D1" s="6"/>
      <c r="E1" s="7" t="s">
        <v>131</v>
      </c>
    </row>
    <row r="2" spans="1:5" ht="15.75" x14ac:dyDescent="0.25">
      <c r="A2" s="6"/>
      <c r="B2" s="6"/>
      <c r="C2" s="6"/>
      <c r="D2" s="6"/>
      <c r="E2" s="8" t="s">
        <v>1</v>
      </c>
    </row>
    <row r="3" spans="1:5" ht="14.25" customHeight="1" x14ac:dyDescent="0.25">
      <c r="A3" s="6"/>
      <c r="B3" s="6"/>
      <c r="C3" s="6"/>
      <c r="D3" s="6"/>
      <c r="E3" s="7" t="s">
        <v>2</v>
      </c>
    </row>
    <row r="4" spans="1:5" ht="15.75" x14ac:dyDescent="0.25">
      <c r="A4" s="6"/>
      <c r="B4" s="6"/>
      <c r="C4" s="6"/>
      <c r="D4" s="6"/>
      <c r="E4" s="7" t="s">
        <v>3</v>
      </c>
    </row>
    <row r="5" spans="1:5" ht="38.25" customHeight="1" x14ac:dyDescent="0.25">
      <c r="A5" s="57" t="s">
        <v>61</v>
      </c>
      <c r="B5" s="57"/>
      <c r="C5" s="57"/>
      <c r="D5" s="57"/>
      <c r="E5" s="57"/>
    </row>
    <row r="6" spans="1:5" ht="15.75" x14ac:dyDescent="0.25">
      <c r="A6" s="6"/>
      <c r="B6" s="6"/>
      <c r="C6" s="6"/>
      <c r="D6" s="6"/>
      <c r="E6" s="6"/>
    </row>
    <row r="7" spans="1:5" ht="47.25" x14ac:dyDescent="0.25">
      <c r="A7" s="95" t="s">
        <v>38</v>
      </c>
      <c r="B7" s="95"/>
      <c r="C7" s="19" t="s">
        <v>39</v>
      </c>
      <c r="D7" s="95" t="s">
        <v>41</v>
      </c>
      <c r="E7" s="95" t="s">
        <v>42</v>
      </c>
    </row>
    <row r="8" spans="1:5" ht="38.25" customHeight="1" x14ac:dyDescent="0.25">
      <c r="A8" s="95"/>
      <c r="B8" s="95"/>
      <c r="C8" s="34" t="s">
        <v>40</v>
      </c>
      <c r="D8" s="95"/>
      <c r="E8" s="95"/>
    </row>
    <row r="9" spans="1:5" ht="47.25" x14ac:dyDescent="0.25">
      <c r="A9" s="91" t="s">
        <v>43</v>
      </c>
      <c r="B9" s="14" t="s">
        <v>44</v>
      </c>
      <c r="C9" s="21">
        <f>D9*E9</f>
        <v>599853.07199999993</v>
      </c>
      <c r="D9" s="35">
        <v>650</v>
      </c>
      <c r="E9" s="100">
        <v>922.85087999999996</v>
      </c>
    </row>
    <row r="10" spans="1:5" ht="15.75" x14ac:dyDescent="0.25">
      <c r="A10" s="92"/>
      <c r="B10" s="14" t="s">
        <v>22</v>
      </c>
      <c r="C10" s="21">
        <f>D10*E10</f>
        <v>357055.39999999997</v>
      </c>
      <c r="D10" s="35">
        <v>650</v>
      </c>
      <c r="E10" s="100">
        <v>549.31599999999992</v>
      </c>
    </row>
    <row r="11" spans="1:5" ht="15.75" x14ac:dyDescent="0.25">
      <c r="A11" s="93"/>
      <c r="B11" s="14" t="s">
        <v>45</v>
      </c>
      <c r="C11" s="21">
        <f>D11*E11</f>
        <v>3735.3488000000007</v>
      </c>
      <c r="D11" s="35">
        <v>10</v>
      </c>
      <c r="E11" s="100">
        <v>373.53488000000004</v>
      </c>
    </row>
    <row r="12" spans="1:5" ht="47.25" x14ac:dyDescent="0.25">
      <c r="A12" s="34" t="s">
        <v>46</v>
      </c>
      <c r="B12" s="14" t="s">
        <v>47</v>
      </c>
      <c r="C12" s="21">
        <v>0</v>
      </c>
      <c r="D12" s="35">
        <v>0</v>
      </c>
      <c r="E12" s="100">
        <v>0</v>
      </c>
    </row>
    <row r="13" spans="1:5" ht="47.25" x14ac:dyDescent="0.25">
      <c r="A13" s="91" t="s">
        <v>48</v>
      </c>
      <c r="B13" s="14" t="s">
        <v>49</v>
      </c>
      <c r="C13" s="21">
        <f>C14+C15+C17</f>
        <v>7644416</v>
      </c>
      <c r="D13" s="35">
        <f>D14</f>
        <v>650</v>
      </c>
      <c r="E13" s="100">
        <v>0</v>
      </c>
    </row>
    <row r="14" spans="1:5" ht="15.75" x14ac:dyDescent="0.25">
      <c r="A14" s="92"/>
      <c r="B14" s="14" t="s">
        <v>50</v>
      </c>
      <c r="C14" s="21">
        <f>D14*E14</f>
        <v>3352609</v>
      </c>
      <c r="D14" s="35">
        <v>650</v>
      </c>
      <c r="E14" s="100">
        <v>5157.8599999999997</v>
      </c>
    </row>
    <row r="15" spans="1:5" ht="15.75" x14ac:dyDescent="0.25">
      <c r="A15" s="92"/>
      <c r="B15" s="14" t="s">
        <v>51</v>
      </c>
      <c r="C15" s="21">
        <f>D15*E15</f>
        <v>1542053.5</v>
      </c>
      <c r="D15" s="35">
        <v>650</v>
      </c>
      <c r="E15" s="100">
        <v>2372.39</v>
      </c>
    </row>
    <row r="16" spans="1:5" ht="15.75" x14ac:dyDescent="0.25">
      <c r="A16" s="92"/>
      <c r="B16" s="14" t="s">
        <v>52</v>
      </c>
      <c r="C16" s="21">
        <v>0</v>
      </c>
      <c r="D16" s="35">
        <v>0</v>
      </c>
      <c r="E16" s="35">
        <v>0</v>
      </c>
    </row>
    <row r="17" spans="1:5" ht="65.25" customHeight="1" x14ac:dyDescent="0.25">
      <c r="A17" s="92"/>
      <c r="B17" s="14" t="s">
        <v>53</v>
      </c>
      <c r="C17" s="21">
        <f>D17*E17</f>
        <v>2749753.5</v>
      </c>
      <c r="D17" s="35">
        <v>650</v>
      </c>
      <c r="E17" s="100">
        <v>4230.3900000000003</v>
      </c>
    </row>
    <row r="18" spans="1:5" ht="47.25" x14ac:dyDescent="0.25">
      <c r="A18" s="93"/>
      <c r="B18" s="14" t="s">
        <v>54</v>
      </c>
      <c r="C18" s="21">
        <v>0</v>
      </c>
      <c r="D18" s="35">
        <v>0</v>
      </c>
      <c r="E18" s="100">
        <v>0</v>
      </c>
    </row>
    <row r="19" spans="1:5" ht="47.25" x14ac:dyDescent="0.25">
      <c r="A19" s="91" t="s">
        <v>55</v>
      </c>
      <c r="B19" s="14" t="s">
        <v>56</v>
      </c>
      <c r="C19" s="21">
        <f>D19*E19</f>
        <v>599853.07199999993</v>
      </c>
      <c r="D19" s="35">
        <v>650</v>
      </c>
      <c r="E19" s="100">
        <v>922.85087999999996</v>
      </c>
    </row>
    <row r="20" spans="1:5" ht="15.75" x14ac:dyDescent="0.25">
      <c r="A20" s="92"/>
      <c r="B20" s="14" t="s">
        <v>22</v>
      </c>
      <c r="C20" s="21">
        <f>D20*E20</f>
        <v>357055.39999999997</v>
      </c>
      <c r="D20" s="35">
        <v>650</v>
      </c>
      <c r="E20" s="100">
        <v>549.31599999999992</v>
      </c>
    </row>
    <row r="21" spans="1:5" ht="15.75" x14ac:dyDescent="0.25">
      <c r="A21" s="93"/>
      <c r="B21" s="14" t="s">
        <v>45</v>
      </c>
      <c r="C21" s="21">
        <f>D21*E21</f>
        <v>3735.3488000000007</v>
      </c>
      <c r="D21" s="35">
        <v>10</v>
      </c>
      <c r="E21" s="100">
        <v>373.53488000000004</v>
      </c>
    </row>
    <row r="22" spans="1:5" ht="78.75" x14ac:dyDescent="0.25">
      <c r="A22" s="91" t="s">
        <v>57</v>
      </c>
      <c r="B22" s="14" t="s">
        <v>58</v>
      </c>
      <c r="C22" s="21">
        <v>0</v>
      </c>
      <c r="D22" s="35">
        <v>0</v>
      </c>
      <c r="E22" s="36">
        <v>0</v>
      </c>
    </row>
    <row r="23" spans="1:5" ht="15.75" x14ac:dyDescent="0.25">
      <c r="A23" s="92"/>
      <c r="B23" s="14" t="s">
        <v>22</v>
      </c>
      <c r="C23" s="21">
        <v>0</v>
      </c>
      <c r="D23" s="35">
        <v>0</v>
      </c>
      <c r="E23" s="36">
        <v>0</v>
      </c>
    </row>
    <row r="24" spans="1:5" ht="15.75" x14ac:dyDescent="0.25">
      <c r="A24" s="93"/>
      <c r="B24" s="14" t="s">
        <v>45</v>
      </c>
      <c r="C24" s="21">
        <v>0</v>
      </c>
      <c r="D24" s="35">
        <v>0</v>
      </c>
      <c r="E24" s="36">
        <v>0</v>
      </c>
    </row>
    <row r="25" spans="1:5" ht="141.75" x14ac:dyDescent="0.25">
      <c r="A25" s="91" t="s">
        <v>59</v>
      </c>
      <c r="B25" s="14" t="s">
        <v>60</v>
      </c>
      <c r="C25" s="21">
        <v>0</v>
      </c>
      <c r="D25" s="35">
        <v>0</v>
      </c>
      <c r="E25" s="36">
        <v>0</v>
      </c>
    </row>
    <row r="26" spans="1:5" ht="15.75" x14ac:dyDescent="0.25">
      <c r="A26" s="92"/>
      <c r="B26" s="14" t="s">
        <v>22</v>
      </c>
      <c r="C26" s="21">
        <v>0</v>
      </c>
      <c r="D26" s="35">
        <v>0</v>
      </c>
      <c r="E26" s="36">
        <v>0</v>
      </c>
    </row>
    <row r="27" spans="1:5" ht="15.75" x14ac:dyDescent="0.25">
      <c r="A27" s="93"/>
      <c r="B27" s="14" t="s">
        <v>45</v>
      </c>
      <c r="C27" s="21">
        <v>0</v>
      </c>
      <c r="D27" s="35">
        <v>0</v>
      </c>
      <c r="E27" s="36">
        <v>0</v>
      </c>
    </row>
    <row r="28" spans="1:5" ht="15.75" x14ac:dyDescent="0.25">
      <c r="A28" s="6"/>
      <c r="B28" s="6"/>
      <c r="C28" s="6"/>
      <c r="D28" s="6"/>
      <c r="E28" s="6"/>
    </row>
    <row r="29" spans="1:5" ht="15.75" x14ac:dyDescent="0.25">
      <c r="A29" s="16"/>
      <c r="B29" s="6"/>
      <c r="C29" s="6"/>
      <c r="D29" s="6"/>
      <c r="E29" s="6"/>
    </row>
    <row r="30" spans="1:5" ht="15.75" customHeight="1" x14ac:dyDescent="0.25">
      <c r="A30" s="90" t="s">
        <v>33</v>
      </c>
      <c r="B30" s="90"/>
      <c r="C30" s="90"/>
      <c r="D30" s="90"/>
      <c r="E30" s="90"/>
    </row>
    <row r="31" spans="1:5" ht="35.25" customHeight="1" x14ac:dyDescent="0.25">
      <c r="A31" s="94" t="s">
        <v>62</v>
      </c>
      <c r="B31" s="94"/>
      <c r="C31" s="94"/>
      <c r="D31" s="94"/>
      <c r="E31" s="94"/>
    </row>
    <row r="35" spans="3:3" x14ac:dyDescent="0.25">
      <c r="C35" s="24"/>
    </row>
    <row r="36" spans="3:3" x14ac:dyDescent="0.25">
      <c r="C36" s="24"/>
    </row>
  </sheetData>
  <mergeCells count="11">
    <mergeCell ref="A13:A18"/>
    <mergeCell ref="A5:E5"/>
    <mergeCell ref="A7:B8"/>
    <mergeCell ref="D7:D8"/>
    <mergeCell ref="E7:E8"/>
    <mergeCell ref="A9:A11"/>
    <mergeCell ref="A19:A21"/>
    <mergeCell ref="A22:A24"/>
    <mergeCell ref="A25:A27"/>
    <mergeCell ref="A30:E30"/>
    <mergeCell ref="A31:E31"/>
  </mergeCells>
  <hyperlinks>
    <hyperlink ref="C7" location="sub_444" display="sub_444"/>
    <hyperlink ref="A31" r:id="rId1" display="garantf1://70129430.1100/"/>
    <hyperlink ref="E2" location="sub_1000" display="sub_1000"/>
  </hyperlinks>
  <pageMargins left="0.7" right="0.7" top="0.75" bottom="0.75" header="0.3" footer="0.3"/>
  <pageSetup paperSize="9" scale="71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7"/>
  <sheetViews>
    <sheetView view="pageBreakPreview" topLeftCell="A19" zoomScale="80" zoomScaleNormal="100" zoomScaleSheetLayoutView="80" workbookViewId="0">
      <selection activeCell="D36" sqref="D36"/>
    </sheetView>
  </sheetViews>
  <sheetFormatPr defaultRowHeight="15" x14ac:dyDescent="0.25"/>
  <cols>
    <col min="2" max="2" width="44.7109375" customWidth="1"/>
    <col min="3" max="3" width="27.28515625" customWidth="1"/>
    <col min="4" max="4" width="32" customWidth="1"/>
    <col min="6" max="6" width="11.140625" bestFit="1" customWidth="1"/>
  </cols>
  <sheetData>
    <row r="1" spans="1:5" ht="15.75" x14ac:dyDescent="0.25">
      <c r="A1" s="6"/>
      <c r="B1" s="6"/>
      <c r="C1" s="6"/>
      <c r="D1" s="7" t="s">
        <v>132</v>
      </c>
      <c r="E1" s="4"/>
    </row>
    <row r="2" spans="1:5" ht="15.75" x14ac:dyDescent="0.25">
      <c r="A2" s="6"/>
      <c r="B2" s="6"/>
      <c r="C2" s="6"/>
      <c r="D2" s="8" t="s">
        <v>1</v>
      </c>
      <c r="E2" s="4"/>
    </row>
    <row r="3" spans="1:5" ht="15.75" x14ac:dyDescent="0.25">
      <c r="A3" s="6"/>
      <c r="B3" s="6"/>
      <c r="C3" s="6"/>
      <c r="D3" s="7" t="s">
        <v>2</v>
      </c>
      <c r="E3" s="4"/>
    </row>
    <row r="4" spans="1:5" ht="15.75" x14ac:dyDescent="0.25">
      <c r="A4" s="6"/>
      <c r="B4" s="6"/>
      <c r="C4" s="6"/>
      <c r="D4" s="7" t="s">
        <v>3</v>
      </c>
      <c r="E4" s="4"/>
    </row>
    <row r="5" spans="1:5" ht="15.75" x14ac:dyDescent="0.25">
      <c r="A5" s="6"/>
      <c r="B5" s="6"/>
      <c r="C5" s="6"/>
      <c r="D5" s="6"/>
    </row>
    <row r="6" spans="1:5" ht="42.75" customHeight="1" x14ac:dyDescent="0.25">
      <c r="A6" s="57" t="s">
        <v>63</v>
      </c>
      <c r="B6" s="57"/>
      <c r="C6" s="57"/>
      <c r="D6" s="57"/>
    </row>
    <row r="7" spans="1:5" ht="15.75" x14ac:dyDescent="0.25">
      <c r="A7" s="6"/>
      <c r="B7" s="6"/>
      <c r="C7" s="6"/>
      <c r="D7" s="6" t="s">
        <v>64</v>
      </c>
    </row>
    <row r="8" spans="1:5" ht="15.75" x14ac:dyDescent="0.25">
      <c r="A8" s="6"/>
      <c r="B8" s="6"/>
      <c r="C8" s="6"/>
      <c r="D8" s="6"/>
    </row>
    <row r="9" spans="1:5" ht="31.5" x14ac:dyDescent="0.25">
      <c r="A9" s="15"/>
      <c r="B9" s="12" t="s">
        <v>65</v>
      </c>
      <c r="C9" s="12" t="s">
        <v>66</v>
      </c>
      <c r="D9" s="12" t="s">
        <v>67</v>
      </c>
    </row>
    <row r="10" spans="1:5" ht="15.75" x14ac:dyDescent="0.25">
      <c r="A10" s="39"/>
      <c r="B10" s="38"/>
      <c r="C10" s="38" t="s">
        <v>210</v>
      </c>
      <c r="D10" s="38" t="s">
        <v>211</v>
      </c>
    </row>
    <row r="11" spans="1:5" ht="31.5" x14ac:dyDescent="0.25">
      <c r="A11" s="68" t="s">
        <v>43</v>
      </c>
      <c r="B11" s="13" t="s">
        <v>68</v>
      </c>
      <c r="C11" s="20">
        <v>0</v>
      </c>
      <c r="D11" s="20">
        <v>0</v>
      </c>
    </row>
    <row r="12" spans="1:5" ht="15.75" x14ac:dyDescent="0.25">
      <c r="A12" s="69"/>
      <c r="B12" s="13" t="s">
        <v>69</v>
      </c>
      <c r="C12" s="20"/>
      <c r="D12" s="20"/>
    </row>
    <row r="13" spans="1:5" ht="15.75" x14ac:dyDescent="0.25">
      <c r="A13" s="69"/>
      <c r="B13" s="13" t="s">
        <v>70</v>
      </c>
      <c r="C13" s="20"/>
      <c r="D13" s="20"/>
    </row>
    <row r="14" spans="1:5" ht="15.75" x14ac:dyDescent="0.25">
      <c r="A14" s="69"/>
      <c r="B14" s="13" t="s">
        <v>71</v>
      </c>
      <c r="C14" s="20"/>
      <c r="D14" s="20"/>
    </row>
    <row r="15" spans="1:5" ht="15.75" x14ac:dyDescent="0.25">
      <c r="A15" s="69"/>
      <c r="B15" s="13" t="s">
        <v>72</v>
      </c>
      <c r="C15" s="20"/>
      <c r="D15" s="20"/>
    </row>
    <row r="16" spans="1:5" ht="15.75" x14ac:dyDescent="0.25">
      <c r="A16" s="69"/>
      <c r="B16" s="13" t="s">
        <v>73</v>
      </c>
      <c r="C16" s="20"/>
      <c r="D16" s="20"/>
    </row>
    <row r="17" spans="1:4" ht="15.75" x14ac:dyDescent="0.25">
      <c r="A17" s="69"/>
      <c r="B17" s="13" t="s">
        <v>74</v>
      </c>
      <c r="C17" s="20"/>
      <c r="D17" s="20"/>
    </row>
    <row r="18" spans="1:4" ht="15.75" x14ac:dyDescent="0.25">
      <c r="A18" s="69"/>
      <c r="B18" s="13" t="s">
        <v>75</v>
      </c>
      <c r="C18" s="20"/>
      <c r="D18" s="20"/>
    </row>
    <row r="19" spans="1:4" ht="31.5" x14ac:dyDescent="0.25">
      <c r="A19" s="69"/>
      <c r="B19" s="13" t="s">
        <v>76</v>
      </c>
      <c r="C19" s="20"/>
      <c r="D19" s="20"/>
    </row>
    <row r="20" spans="1:4" ht="47.25" x14ac:dyDescent="0.25">
      <c r="A20" s="69"/>
      <c r="B20" s="13" t="s">
        <v>77</v>
      </c>
      <c r="C20" s="20"/>
      <c r="D20" s="20"/>
    </row>
    <row r="21" spans="1:4" ht="31.5" x14ac:dyDescent="0.25">
      <c r="A21" s="69"/>
      <c r="B21" s="13" t="s">
        <v>78</v>
      </c>
      <c r="C21" s="20"/>
      <c r="D21" s="20"/>
    </row>
    <row r="22" spans="1:4" ht="15.75" x14ac:dyDescent="0.25">
      <c r="A22" s="69"/>
      <c r="B22" s="13" t="s">
        <v>69</v>
      </c>
      <c r="C22" s="20"/>
      <c r="D22" s="20"/>
    </row>
    <row r="23" spans="1:4" ht="15.75" x14ac:dyDescent="0.25">
      <c r="A23" s="69"/>
      <c r="B23" s="13" t="s">
        <v>79</v>
      </c>
      <c r="C23" s="20"/>
      <c r="D23" s="20"/>
    </row>
    <row r="24" spans="1:4" ht="31.5" x14ac:dyDescent="0.25">
      <c r="A24" s="69"/>
      <c r="B24" s="13" t="s">
        <v>80</v>
      </c>
      <c r="C24" s="20"/>
      <c r="D24" s="20"/>
    </row>
    <row r="25" spans="1:4" ht="31.5" x14ac:dyDescent="0.25">
      <c r="A25" s="69"/>
      <c r="B25" s="13" t="s">
        <v>81</v>
      </c>
      <c r="C25" s="20"/>
      <c r="D25" s="20"/>
    </row>
    <row r="26" spans="1:4" ht="15.75" x14ac:dyDescent="0.25">
      <c r="A26" s="69"/>
      <c r="B26" s="13" t="s">
        <v>82</v>
      </c>
      <c r="C26" s="20"/>
      <c r="D26" s="20"/>
    </row>
    <row r="27" spans="1:4" ht="15.75" x14ac:dyDescent="0.25">
      <c r="A27" s="69"/>
      <c r="B27" s="13" t="s">
        <v>83</v>
      </c>
      <c r="C27" s="20"/>
      <c r="D27" s="20"/>
    </row>
    <row r="28" spans="1:4" ht="31.5" x14ac:dyDescent="0.25">
      <c r="A28" s="69"/>
      <c r="B28" s="13" t="s">
        <v>84</v>
      </c>
      <c r="C28" s="20"/>
      <c r="D28" s="20"/>
    </row>
    <row r="29" spans="1:4" ht="15.75" x14ac:dyDescent="0.25">
      <c r="A29" s="69"/>
      <c r="B29" s="13" t="s">
        <v>85</v>
      </c>
      <c r="C29" s="20"/>
      <c r="D29" s="20"/>
    </row>
    <row r="30" spans="1:4" ht="15.75" x14ac:dyDescent="0.25">
      <c r="A30" s="69"/>
      <c r="B30" s="13" t="s">
        <v>69</v>
      </c>
      <c r="C30" s="20"/>
      <c r="D30" s="20"/>
    </row>
    <row r="31" spans="1:4" ht="15.75" x14ac:dyDescent="0.25">
      <c r="A31" s="69"/>
      <c r="B31" s="13" t="s">
        <v>86</v>
      </c>
      <c r="C31" s="20"/>
      <c r="D31" s="20"/>
    </row>
    <row r="32" spans="1:4" ht="15.75" x14ac:dyDescent="0.25">
      <c r="A32" s="69"/>
      <c r="B32" s="13" t="s">
        <v>87</v>
      </c>
      <c r="C32" s="20"/>
      <c r="D32" s="20"/>
    </row>
    <row r="33" spans="1:4" ht="15.75" x14ac:dyDescent="0.25">
      <c r="A33" s="69"/>
      <c r="B33" s="13" t="s">
        <v>88</v>
      </c>
      <c r="C33" s="20"/>
      <c r="D33" s="20"/>
    </row>
    <row r="34" spans="1:4" ht="31.5" x14ac:dyDescent="0.25">
      <c r="A34" s="70"/>
      <c r="B34" s="13" t="s">
        <v>89</v>
      </c>
      <c r="C34" s="20"/>
      <c r="D34" s="20"/>
    </row>
    <row r="35" spans="1:4" ht="94.5" x14ac:dyDescent="0.25">
      <c r="A35" s="12" t="s">
        <v>46</v>
      </c>
      <c r="B35" s="13" t="s">
        <v>90</v>
      </c>
      <c r="C35" s="31">
        <v>10515.25186440678</v>
      </c>
      <c r="D35" s="31">
        <v>10515.25186440678</v>
      </c>
    </row>
    <row r="36" spans="1:4" ht="15.75" x14ac:dyDescent="0.25">
      <c r="A36" s="37" t="s">
        <v>48</v>
      </c>
      <c r="B36" s="13" t="s">
        <v>91</v>
      </c>
      <c r="C36" s="20">
        <v>832.548540338983</v>
      </c>
      <c r="D36" s="20">
        <v>1564.6574780000001</v>
      </c>
    </row>
    <row r="37" spans="1:4" ht="31.5" x14ac:dyDescent="0.25">
      <c r="A37" s="13"/>
      <c r="B37" s="13" t="s">
        <v>92</v>
      </c>
      <c r="C37" s="20">
        <f>C35+C36</f>
        <v>11347.800404745763</v>
      </c>
      <c r="D37" s="20">
        <f>D35+D36</f>
        <v>12079.90934240678</v>
      </c>
    </row>
  </sheetData>
  <mergeCells count="2">
    <mergeCell ref="A6:D6"/>
    <mergeCell ref="A11:A34"/>
  </mergeCells>
  <hyperlinks>
    <hyperlink ref="D2" location="sub_1000" display="sub_1000"/>
  </hyperlink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zoomScale="80" zoomScaleNormal="100" zoomScaleSheetLayoutView="80" workbookViewId="0">
      <selection activeCell="C26" sqref="C26"/>
    </sheetView>
  </sheetViews>
  <sheetFormatPr defaultRowHeight="15" x14ac:dyDescent="0.25"/>
  <cols>
    <col min="2" max="2" width="45.85546875" customWidth="1"/>
    <col min="3" max="3" width="32.42578125" customWidth="1"/>
    <col min="4" max="4" width="35.85546875" customWidth="1"/>
  </cols>
  <sheetData>
    <row r="1" spans="1:4" ht="15.75" x14ac:dyDescent="0.25">
      <c r="A1" s="6"/>
      <c r="B1" s="6"/>
      <c r="C1" s="6"/>
      <c r="D1" s="7" t="s">
        <v>133</v>
      </c>
    </row>
    <row r="2" spans="1:4" ht="15.75" x14ac:dyDescent="0.25">
      <c r="A2" s="6"/>
      <c r="B2" s="6"/>
      <c r="C2" s="6"/>
      <c r="D2" s="8" t="s">
        <v>1</v>
      </c>
    </row>
    <row r="3" spans="1:4" ht="15.75" x14ac:dyDescent="0.25">
      <c r="A3" s="6"/>
      <c r="B3" s="6"/>
      <c r="C3" s="6"/>
      <c r="D3" s="7" t="s">
        <v>2</v>
      </c>
    </row>
    <row r="4" spans="1:4" ht="15.75" x14ac:dyDescent="0.25">
      <c r="A4" s="6"/>
      <c r="B4" s="6"/>
      <c r="C4" s="6"/>
      <c r="D4" s="7" t="s">
        <v>3</v>
      </c>
    </row>
    <row r="5" spans="1:4" ht="15.75" x14ac:dyDescent="0.25">
      <c r="A5" s="6"/>
      <c r="B5" s="6"/>
      <c r="C5" s="6"/>
      <c r="D5" s="6"/>
    </row>
    <row r="6" spans="1:4" ht="39" customHeight="1" x14ac:dyDescent="0.25">
      <c r="A6" s="57" t="s">
        <v>98</v>
      </c>
      <c r="B6" s="57"/>
      <c r="C6" s="57"/>
      <c r="D6" s="57"/>
    </row>
    <row r="7" spans="1:4" ht="15.75" x14ac:dyDescent="0.25">
      <c r="A7" s="6"/>
      <c r="B7" s="6"/>
      <c r="C7" s="6"/>
      <c r="D7" s="6"/>
    </row>
    <row r="8" spans="1:4" ht="66" customHeight="1" x14ac:dyDescent="0.25">
      <c r="A8" s="71" t="s">
        <v>38</v>
      </c>
      <c r="B8" s="71"/>
      <c r="C8" s="12" t="s">
        <v>93</v>
      </c>
      <c r="D8" s="71" t="s">
        <v>94</v>
      </c>
    </row>
    <row r="9" spans="1:4" ht="15.75" x14ac:dyDescent="0.25">
      <c r="A9" s="71"/>
      <c r="B9" s="71"/>
      <c r="C9" s="12" t="s">
        <v>64</v>
      </c>
      <c r="D9" s="71"/>
    </row>
    <row r="10" spans="1:4" ht="31.5" x14ac:dyDescent="0.25">
      <c r="A10" s="12" t="s">
        <v>43</v>
      </c>
      <c r="B10" s="13" t="s">
        <v>95</v>
      </c>
      <c r="C10" s="30"/>
      <c r="D10" s="30"/>
    </row>
    <row r="11" spans="1:4" ht="92.25" customHeight="1" x14ac:dyDescent="0.25">
      <c r="A11" s="12" t="s">
        <v>46</v>
      </c>
      <c r="B11" s="13" t="s">
        <v>96</v>
      </c>
      <c r="C11" s="26">
        <v>0</v>
      </c>
      <c r="D11" s="26">
        <v>0</v>
      </c>
    </row>
    <row r="12" spans="1:4" ht="54" customHeight="1" x14ac:dyDescent="0.25">
      <c r="A12" s="12" t="s">
        <v>48</v>
      </c>
      <c r="B12" s="13" t="s">
        <v>97</v>
      </c>
      <c r="C12" s="26">
        <v>0</v>
      </c>
      <c r="D12" s="26">
        <v>0</v>
      </c>
    </row>
  </sheetData>
  <mergeCells count="3">
    <mergeCell ref="A8:B9"/>
    <mergeCell ref="D8:D9"/>
    <mergeCell ref="A6:D6"/>
  </mergeCells>
  <hyperlinks>
    <hyperlink ref="D2" location="sub_1000" display="sub_1000"/>
  </hyperlink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zoomScale="80" zoomScaleNormal="100" zoomScaleSheetLayoutView="80" workbookViewId="0">
      <selection activeCell="C12" sqref="C12:E19"/>
    </sheetView>
  </sheetViews>
  <sheetFormatPr defaultRowHeight="15" x14ac:dyDescent="0.25"/>
  <cols>
    <col min="1" max="1" width="9.140625" customWidth="1"/>
    <col min="2" max="2" width="55.85546875" customWidth="1"/>
    <col min="3" max="3" width="41.85546875" customWidth="1"/>
    <col min="4" max="4" width="29.5703125" customWidth="1"/>
    <col min="5" max="5" width="34.28515625" customWidth="1"/>
    <col min="6" max="6" width="6" customWidth="1"/>
    <col min="7" max="7" width="38" customWidth="1"/>
  </cols>
  <sheetData>
    <row r="1" spans="1:7" ht="15.75" x14ac:dyDescent="0.25">
      <c r="A1" s="6"/>
      <c r="B1" s="6"/>
      <c r="C1" s="6"/>
      <c r="D1" s="6"/>
      <c r="E1" s="7" t="s">
        <v>134</v>
      </c>
    </row>
    <row r="2" spans="1:7" ht="15.75" x14ac:dyDescent="0.25">
      <c r="A2" s="6"/>
      <c r="B2" s="6"/>
      <c r="C2" s="6"/>
      <c r="D2" s="6"/>
      <c r="E2" s="8" t="s">
        <v>1</v>
      </c>
    </row>
    <row r="3" spans="1:7" ht="15.75" x14ac:dyDescent="0.25">
      <c r="A3" s="6"/>
      <c r="B3" s="6"/>
      <c r="C3" s="6"/>
      <c r="D3" s="6"/>
      <c r="E3" s="7" t="s">
        <v>2</v>
      </c>
    </row>
    <row r="4" spans="1:7" ht="15.75" x14ac:dyDescent="0.25">
      <c r="A4" s="6"/>
      <c r="B4" s="6"/>
      <c r="C4" s="6"/>
      <c r="D4" s="6"/>
      <c r="E4" s="7" t="s">
        <v>3</v>
      </c>
    </row>
    <row r="5" spans="1:7" ht="15.75" x14ac:dyDescent="0.25">
      <c r="A5" s="6"/>
      <c r="B5" s="6"/>
      <c r="C5" s="6"/>
      <c r="D5" s="6"/>
      <c r="E5" s="6"/>
    </row>
    <row r="6" spans="1:7" ht="15.75" x14ac:dyDescent="0.25">
      <c r="A6" s="6"/>
      <c r="B6" s="6"/>
      <c r="C6" s="6"/>
      <c r="D6" s="6"/>
      <c r="E6" s="6"/>
    </row>
    <row r="7" spans="1:7" x14ac:dyDescent="0.25">
      <c r="A7" s="57" t="s">
        <v>107</v>
      </c>
      <c r="B7" s="57"/>
      <c r="C7" s="57"/>
      <c r="D7" s="57"/>
      <c r="E7" s="57"/>
    </row>
    <row r="8" spans="1:7" x14ac:dyDescent="0.25">
      <c r="A8" s="57"/>
      <c r="B8" s="57"/>
      <c r="C8" s="57"/>
      <c r="D8" s="57"/>
      <c r="E8" s="57"/>
    </row>
    <row r="9" spans="1:7" ht="15.75" x14ac:dyDescent="0.25">
      <c r="A9" s="6"/>
      <c r="B9" s="6"/>
      <c r="C9" s="6"/>
      <c r="D9" s="6"/>
      <c r="E9" s="6"/>
    </row>
    <row r="10" spans="1:7" ht="15.75" x14ac:dyDescent="0.25">
      <c r="A10" s="6"/>
      <c r="B10" s="6"/>
      <c r="C10" s="6"/>
      <c r="D10" s="6"/>
      <c r="E10" s="6"/>
    </row>
    <row r="11" spans="1:7" ht="118.5" customHeight="1" x14ac:dyDescent="0.25">
      <c r="A11" s="10"/>
      <c r="B11" s="10" t="s">
        <v>38</v>
      </c>
      <c r="C11" s="11" t="s">
        <v>99</v>
      </c>
      <c r="D11" s="11" t="s">
        <v>100</v>
      </c>
      <c r="E11" s="10" t="s">
        <v>101</v>
      </c>
      <c r="G11" s="5"/>
    </row>
    <row r="12" spans="1:7" ht="15.75" x14ac:dyDescent="0.25">
      <c r="A12" s="68" t="s">
        <v>43</v>
      </c>
      <c r="B12" s="13" t="s">
        <v>102</v>
      </c>
      <c r="C12" s="29">
        <v>0</v>
      </c>
      <c r="D12" s="29">
        <v>0</v>
      </c>
      <c r="E12" s="29">
        <v>0</v>
      </c>
    </row>
    <row r="13" spans="1:7" ht="15.75" x14ac:dyDescent="0.25">
      <c r="A13" s="69"/>
      <c r="B13" s="13" t="s">
        <v>103</v>
      </c>
      <c r="C13" s="29">
        <v>0</v>
      </c>
      <c r="D13" s="29">
        <v>0</v>
      </c>
      <c r="E13" s="29">
        <v>0</v>
      </c>
    </row>
    <row r="14" spans="1:7" ht="15.75" x14ac:dyDescent="0.25">
      <c r="A14" s="69"/>
      <c r="B14" s="13" t="s">
        <v>104</v>
      </c>
      <c r="C14" s="29">
        <v>0</v>
      </c>
      <c r="D14" s="29">
        <v>0</v>
      </c>
      <c r="E14" s="29">
        <v>0</v>
      </c>
    </row>
    <row r="15" spans="1:7" ht="15.75" x14ac:dyDescent="0.25">
      <c r="A15" s="70"/>
      <c r="B15" s="13" t="s">
        <v>105</v>
      </c>
      <c r="C15" s="29">
        <v>0</v>
      </c>
      <c r="D15" s="29">
        <v>0</v>
      </c>
      <c r="E15" s="29">
        <v>0</v>
      </c>
    </row>
    <row r="16" spans="1:7" ht="15.75" x14ac:dyDescent="0.25">
      <c r="A16" s="68" t="s">
        <v>46</v>
      </c>
      <c r="B16" s="13" t="s">
        <v>106</v>
      </c>
      <c r="C16" s="29">
        <v>0</v>
      </c>
      <c r="D16" s="29">
        <v>0</v>
      </c>
      <c r="E16" s="29">
        <v>0</v>
      </c>
    </row>
    <row r="17" spans="1:5" ht="15.75" x14ac:dyDescent="0.25">
      <c r="A17" s="69"/>
      <c r="B17" s="13" t="s">
        <v>103</v>
      </c>
      <c r="C17" s="29">
        <v>0</v>
      </c>
      <c r="D17" s="29">
        <v>0</v>
      </c>
      <c r="E17" s="29">
        <v>0</v>
      </c>
    </row>
    <row r="18" spans="1:5" ht="15.75" x14ac:dyDescent="0.25">
      <c r="A18" s="69"/>
      <c r="B18" s="13" t="s">
        <v>104</v>
      </c>
      <c r="C18" s="29">
        <v>0</v>
      </c>
      <c r="D18" s="29">
        <v>0</v>
      </c>
      <c r="E18" s="29">
        <v>0</v>
      </c>
    </row>
    <row r="19" spans="1:5" ht="15.75" x14ac:dyDescent="0.25">
      <c r="A19" s="70"/>
      <c r="B19" s="13" t="s">
        <v>105</v>
      </c>
      <c r="C19" s="29">
        <v>0</v>
      </c>
      <c r="D19" s="29">
        <v>0</v>
      </c>
      <c r="E19" s="29">
        <v>0</v>
      </c>
    </row>
    <row r="25" spans="1:5" x14ac:dyDescent="0.25">
      <c r="C25" s="24"/>
    </row>
  </sheetData>
  <mergeCells count="3">
    <mergeCell ref="A7:E8"/>
    <mergeCell ref="A12:A15"/>
    <mergeCell ref="A16:A19"/>
  </mergeCells>
  <hyperlinks>
    <hyperlink ref="E2" location="sub_1000" display="sub_1000"/>
  </hyperlinks>
  <pageMargins left="0.7" right="0.7" top="0.75" bottom="0.75" header="0.3" footer="0.3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view="pageBreakPreview" topLeftCell="A7" zoomScale="80" zoomScaleNormal="100" zoomScaleSheetLayoutView="80" workbookViewId="0">
      <selection activeCell="J22" sqref="J22"/>
    </sheetView>
  </sheetViews>
  <sheetFormatPr defaultRowHeight="15" x14ac:dyDescent="0.25"/>
  <cols>
    <col min="2" max="2" width="64.7109375" customWidth="1"/>
    <col min="3" max="8" width="13.5703125" customWidth="1"/>
    <col min="9" max="9" width="18.7109375" customWidth="1"/>
    <col min="10" max="11" width="13.5703125" customWidth="1"/>
  </cols>
  <sheetData>
    <row r="1" spans="1:11" ht="15.7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7" t="s">
        <v>135</v>
      </c>
    </row>
    <row r="2" spans="1:11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8" t="s">
        <v>1</v>
      </c>
    </row>
    <row r="3" spans="1:11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1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7" t="s">
        <v>3</v>
      </c>
    </row>
    <row r="5" spans="1:11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5.75" x14ac:dyDescent="0.25">
      <c r="A7" s="58" t="s">
        <v>126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37.5" customHeight="1" x14ac:dyDescent="0.25">
      <c r="A8" s="57" t="s">
        <v>125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50.25" customHeight="1" x14ac:dyDescent="0.25">
      <c r="A11" s="97"/>
      <c r="B11" s="71" t="s">
        <v>108</v>
      </c>
      <c r="C11" s="71" t="s">
        <v>109</v>
      </c>
      <c r="D11" s="71"/>
      <c r="E11" s="71"/>
      <c r="F11" s="71" t="s">
        <v>110</v>
      </c>
      <c r="G11" s="71"/>
      <c r="H11" s="71"/>
      <c r="I11" s="71" t="s">
        <v>111</v>
      </c>
      <c r="J11" s="71"/>
      <c r="K11" s="71"/>
    </row>
    <row r="12" spans="1:11" ht="31.5" x14ac:dyDescent="0.25">
      <c r="A12" s="97"/>
      <c r="B12" s="71"/>
      <c r="C12" s="44" t="s">
        <v>103</v>
      </c>
      <c r="D12" s="44" t="s">
        <v>104</v>
      </c>
      <c r="E12" s="44" t="s">
        <v>112</v>
      </c>
      <c r="F12" s="44" t="s">
        <v>103</v>
      </c>
      <c r="G12" s="44" t="s">
        <v>104</v>
      </c>
      <c r="H12" s="44" t="s">
        <v>112</v>
      </c>
      <c r="I12" s="44" t="s">
        <v>103</v>
      </c>
      <c r="J12" s="44" t="s">
        <v>104</v>
      </c>
      <c r="K12" s="44" t="s">
        <v>112</v>
      </c>
    </row>
    <row r="13" spans="1:11" ht="15.75" x14ac:dyDescent="0.25">
      <c r="A13" s="68" t="s">
        <v>43</v>
      </c>
      <c r="B13" s="14" t="s">
        <v>113</v>
      </c>
      <c r="C13" s="27">
        <v>24</v>
      </c>
      <c r="D13" s="27">
        <v>0</v>
      </c>
      <c r="E13" s="27">
        <v>0</v>
      </c>
      <c r="F13" s="27">
        <v>355</v>
      </c>
      <c r="G13" s="27">
        <v>0</v>
      </c>
      <c r="H13" s="25">
        <v>0</v>
      </c>
      <c r="I13" s="52">
        <v>11.2</v>
      </c>
      <c r="J13" s="25">
        <v>0</v>
      </c>
      <c r="K13" s="25">
        <v>0</v>
      </c>
    </row>
    <row r="14" spans="1:11" ht="15.75" x14ac:dyDescent="0.25">
      <c r="A14" s="69"/>
      <c r="B14" s="14" t="s">
        <v>114</v>
      </c>
      <c r="C14" s="27" t="s">
        <v>136</v>
      </c>
      <c r="D14" s="27" t="s">
        <v>136</v>
      </c>
      <c r="E14" s="27" t="s">
        <v>136</v>
      </c>
      <c r="F14" s="27" t="s">
        <v>136</v>
      </c>
      <c r="G14" s="27" t="s">
        <v>136</v>
      </c>
      <c r="H14" s="25" t="s">
        <v>136</v>
      </c>
      <c r="I14" s="25" t="s">
        <v>136</v>
      </c>
      <c r="J14" s="25" t="s">
        <v>136</v>
      </c>
      <c r="K14" s="25" t="s">
        <v>136</v>
      </c>
    </row>
    <row r="15" spans="1:11" ht="15.75" x14ac:dyDescent="0.25">
      <c r="A15" s="70"/>
      <c r="B15" s="18" t="s">
        <v>115</v>
      </c>
      <c r="C15" s="27">
        <v>24</v>
      </c>
      <c r="D15" s="27">
        <v>0</v>
      </c>
      <c r="E15" s="27">
        <v>0</v>
      </c>
      <c r="F15" s="27">
        <v>355</v>
      </c>
      <c r="G15" s="27">
        <v>0</v>
      </c>
      <c r="H15" s="25">
        <v>0</v>
      </c>
      <c r="I15" s="52">
        <v>11.2</v>
      </c>
      <c r="J15" s="25">
        <v>0</v>
      </c>
      <c r="K15" s="25">
        <v>0</v>
      </c>
    </row>
    <row r="16" spans="1:11" ht="15.75" x14ac:dyDescent="0.25">
      <c r="A16" s="68" t="s">
        <v>46</v>
      </c>
      <c r="B16" s="14" t="s">
        <v>116</v>
      </c>
      <c r="C16" s="27">
        <v>2</v>
      </c>
      <c r="D16" s="27">
        <v>2</v>
      </c>
      <c r="E16" s="27">
        <v>0</v>
      </c>
      <c r="F16" s="27">
        <v>300</v>
      </c>
      <c r="G16" s="27">
        <v>300</v>
      </c>
      <c r="H16" s="25">
        <v>0</v>
      </c>
      <c r="I16" s="52">
        <v>23.28856</v>
      </c>
      <c r="J16" s="52">
        <v>49.348280000000003</v>
      </c>
      <c r="K16" s="25">
        <v>0</v>
      </c>
    </row>
    <row r="17" spans="1:11" ht="15.75" x14ac:dyDescent="0.25">
      <c r="A17" s="69"/>
      <c r="B17" s="14" t="s">
        <v>114</v>
      </c>
      <c r="C17" s="27" t="s">
        <v>136</v>
      </c>
      <c r="D17" s="27" t="s">
        <v>136</v>
      </c>
      <c r="E17" s="27" t="s">
        <v>136</v>
      </c>
      <c r="F17" s="27" t="s">
        <v>136</v>
      </c>
      <c r="G17" s="27" t="s">
        <v>136</v>
      </c>
      <c r="H17" s="25" t="s">
        <v>136</v>
      </c>
      <c r="I17" s="25" t="s">
        <v>136</v>
      </c>
      <c r="J17" s="25" t="s">
        <v>136</v>
      </c>
      <c r="K17" s="25" t="s">
        <v>136</v>
      </c>
    </row>
    <row r="18" spans="1:11" ht="15.75" x14ac:dyDescent="0.25">
      <c r="A18" s="70"/>
      <c r="B18" s="18" t="s">
        <v>117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 ht="15.75" x14ac:dyDescent="0.25">
      <c r="A19" s="68" t="s">
        <v>48</v>
      </c>
      <c r="B19" s="14" t="s">
        <v>118</v>
      </c>
      <c r="C19" s="27">
        <v>2</v>
      </c>
      <c r="D19" s="27">
        <v>0</v>
      </c>
      <c r="E19" s="27">
        <v>0</v>
      </c>
      <c r="F19" s="53">
        <v>831.6</v>
      </c>
      <c r="G19" s="27">
        <v>0</v>
      </c>
      <c r="H19" s="25">
        <v>0</v>
      </c>
      <c r="I19" s="52">
        <v>10526.9</v>
      </c>
      <c r="J19" s="25">
        <v>0</v>
      </c>
      <c r="K19" s="25">
        <v>0</v>
      </c>
    </row>
    <row r="20" spans="1:11" ht="15.75" x14ac:dyDescent="0.25">
      <c r="A20" s="69"/>
      <c r="B20" s="14" t="s">
        <v>114</v>
      </c>
      <c r="C20" s="27" t="s">
        <v>136</v>
      </c>
      <c r="D20" s="27" t="s">
        <v>136</v>
      </c>
      <c r="E20" s="27" t="s">
        <v>136</v>
      </c>
      <c r="F20" s="27" t="s">
        <v>136</v>
      </c>
      <c r="G20" s="27" t="s">
        <v>136</v>
      </c>
      <c r="H20" s="25" t="s">
        <v>136</v>
      </c>
      <c r="I20" s="25" t="s">
        <v>136</v>
      </c>
      <c r="J20" s="25" t="s">
        <v>136</v>
      </c>
      <c r="K20" s="25" t="s">
        <v>136</v>
      </c>
    </row>
    <row r="21" spans="1:11" ht="15.75" x14ac:dyDescent="0.25">
      <c r="A21" s="70"/>
      <c r="B21" s="14" t="s">
        <v>119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1:11" ht="15.75" x14ac:dyDescent="0.25">
      <c r="A22" s="68" t="s">
        <v>55</v>
      </c>
      <c r="B22" s="14" t="s">
        <v>120</v>
      </c>
      <c r="C22" s="25">
        <v>0</v>
      </c>
      <c r="D22" s="25">
        <v>1</v>
      </c>
      <c r="E22" s="25">
        <v>0</v>
      </c>
      <c r="F22" s="25">
        <v>0</v>
      </c>
      <c r="G22" s="25">
        <v>3500</v>
      </c>
      <c r="H22" s="25">
        <v>0</v>
      </c>
      <c r="I22" s="25">
        <v>0</v>
      </c>
      <c r="J22" s="52">
        <v>11.64428</v>
      </c>
      <c r="K22" s="25">
        <v>0</v>
      </c>
    </row>
    <row r="23" spans="1:11" ht="15.75" x14ac:dyDescent="0.25">
      <c r="A23" s="69"/>
      <c r="B23" s="14" t="s">
        <v>114</v>
      </c>
      <c r="C23" s="27" t="s">
        <v>136</v>
      </c>
      <c r="D23" s="27" t="s">
        <v>136</v>
      </c>
      <c r="E23" s="27" t="s">
        <v>136</v>
      </c>
      <c r="F23" s="27" t="s">
        <v>136</v>
      </c>
      <c r="G23" s="27" t="s">
        <v>136</v>
      </c>
      <c r="H23" s="25" t="s">
        <v>136</v>
      </c>
      <c r="I23" s="25" t="s">
        <v>136</v>
      </c>
      <c r="J23" s="25" t="s">
        <v>136</v>
      </c>
      <c r="K23" s="25" t="s">
        <v>136</v>
      </c>
    </row>
    <row r="24" spans="1:11" ht="15.75" x14ac:dyDescent="0.25">
      <c r="A24" s="70"/>
      <c r="B24" s="14" t="s">
        <v>119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</row>
    <row r="25" spans="1:11" ht="15.75" x14ac:dyDescent="0.25">
      <c r="A25" s="68" t="s">
        <v>57</v>
      </c>
      <c r="B25" s="14" t="s">
        <v>121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</row>
    <row r="26" spans="1:11" ht="19.5" customHeight="1" x14ac:dyDescent="0.25">
      <c r="A26" s="69"/>
      <c r="B26" s="14" t="s">
        <v>114</v>
      </c>
      <c r="C26" s="27" t="s">
        <v>136</v>
      </c>
      <c r="D26" s="27" t="s">
        <v>136</v>
      </c>
      <c r="E26" s="27" t="s">
        <v>136</v>
      </c>
      <c r="F26" s="27" t="s">
        <v>136</v>
      </c>
      <c r="G26" s="27" t="s">
        <v>136</v>
      </c>
      <c r="H26" s="25" t="s">
        <v>136</v>
      </c>
      <c r="I26" s="25" t="s">
        <v>136</v>
      </c>
      <c r="J26" s="25" t="s">
        <v>136</v>
      </c>
      <c r="K26" s="25" t="s">
        <v>136</v>
      </c>
    </row>
    <row r="27" spans="1:11" ht="21.75" customHeight="1" x14ac:dyDescent="0.25">
      <c r="A27" s="70"/>
      <c r="B27" s="14" t="s">
        <v>119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</row>
    <row r="28" spans="1:11" ht="15.75" x14ac:dyDescent="0.25">
      <c r="A28" s="44" t="s">
        <v>55</v>
      </c>
      <c r="B28" s="14" t="s">
        <v>122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1:11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75" x14ac:dyDescent="0.25">
      <c r="A30" s="6" t="s">
        <v>33</v>
      </c>
      <c r="B30" s="6"/>
      <c r="C30" s="6"/>
      <c r="D30" s="6"/>
      <c r="E30" s="6"/>
      <c r="F30" s="6"/>
      <c r="G30" s="6"/>
      <c r="H30" s="6"/>
      <c r="I30" s="22"/>
      <c r="J30" s="6"/>
      <c r="K30" s="6"/>
    </row>
    <row r="31" spans="1:11" ht="15.75" x14ac:dyDescent="0.25">
      <c r="A31" s="6" t="s">
        <v>123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96" t="s">
        <v>124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1" ht="51.75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</row>
  </sheetData>
  <mergeCells count="13">
    <mergeCell ref="A22:A24"/>
    <mergeCell ref="A25:A27"/>
    <mergeCell ref="A32:K33"/>
    <mergeCell ref="A11:A12"/>
    <mergeCell ref="B11:B12"/>
    <mergeCell ref="C11:E11"/>
    <mergeCell ref="F11:H11"/>
    <mergeCell ref="I11:K11"/>
    <mergeCell ref="A7:K7"/>
    <mergeCell ref="A8:K8"/>
    <mergeCell ref="A13:A15"/>
    <mergeCell ref="A16:A18"/>
    <mergeCell ref="A19:A21"/>
  </mergeCells>
  <hyperlinks>
    <hyperlink ref="B15" location="sub_881" display="sub_881"/>
    <hyperlink ref="B18" location="sub_882" display="sub_882"/>
    <hyperlink ref="K2" location="sub_1000" display="sub_1000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1"/>
  <sheetViews>
    <sheetView view="pageBreakPreview" topLeftCell="A7" zoomScaleNormal="100" zoomScaleSheetLayoutView="100" workbookViewId="0">
      <selection activeCell="H16" sqref="H16"/>
    </sheetView>
  </sheetViews>
  <sheetFormatPr defaultRowHeight="15" x14ac:dyDescent="0.25"/>
  <cols>
    <col min="2" max="2" width="42" customWidth="1"/>
    <col min="3" max="3" width="10.7109375" customWidth="1"/>
    <col min="4" max="4" width="10.85546875" customWidth="1"/>
    <col min="5" max="5" width="10.42578125" customWidth="1"/>
    <col min="6" max="6" width="14" customWidth="1"/>
    <col min="7" max="7" width="10.85546875" customWidth="1"/>
  </cols>
  <sheetData>
    <row r="1" spans="1:8" ht="15.75" x14ac:dyDescent="0.25">
      <c r="A1" s="6"/>
      <c r="B1" s="6"/>
      <c r="C1" s="6"/>
      <c r="D1" s="6"/>
      <c r="E1" s="23"/>
      <c r="F1" s="23"/>
      <c r="G1" s="23"/>
      <c r="H1" s="7" t="s">
        <v>129</v>
      </c>
    </row>
    <row r="2" spans="1:8" ht="15.75" x14ac:dyDescent="0.25">
      <c r="A2" s="6"/>
      <c r="B2" s="6"/>
      <c r="C2" s="6"/>
      <c r="D2" s="6"/>
      <c r="E2" s="23"/>
      <c r="F2" s="23"/>
      <c r="G2" s="23"/>
      <c r="H2" s="8" t="s">
        <v>1</v>
      </c>
    </row>
    <row r="3" spans="1:8" ht="15.75" x14ac:dyDescent="0.25">
      <c r="A3" s="6"/>
      <c r="B3" s="6"/>
      <c r="C3" s="6"/>
      <c r="D3" s="6"/>
      <c r="E3" s="23"/>
      <c r="F3" s="23"/>
      <c r="G3" s="23"/>
      <c r="H3" s="7" t="s">
        <v>2</v>
      </c>
    </row>
    <row r="4" spans="1:8" ht="15.75" x14ac:dyDescent="0.25">
      <c r="A4" s="6"/>
      <c r="B4" s="6"/>
      <c r="C4" s="6"/>
      <c r="D4" s="6"/>
      <c r="E4" s="23"/>
      <c r="F4" s="23"/>
      <c r="G4" s="23"/>
      <c r="H4" s="7" t="s">
        <v>3</v>
      </c>
    </row>
    <row r="5" spans="1:8" ht="15.75" x14ac:dyDescent="0.25">
      <c r="A5" s="6"/>
      <c r="B5" s="6"/>
      <c r="C5" s="6"/>
      <c r="D5" s="6"/>
      <c r="E5" s="23"/>
      <c r="F5" s="23"/>
      <c r="G5" s="23"/>
      <c r="H5" s="7"/>
    </row>
    <row r="6" spans="1:8" ht="15.75" x14ac:dyDescent="0.25">
      <c r="A6" s="6"/>
      <c r="B6" s="6"/>
      <c r="C6" s="6"/>
      <c r="D6" s="6"/>
      <c r="E6" s="23"/>
      <c r="F6" s="23"/>
      <c r="G6" s="23"/>
      <c r="H6" s="7"/>
    </row>
    <row r="7" spans="1:8" ht="15" customHeight="1" x14ac:dyDescent="0.25">
      <c r="A7" s="98" t="s">
        <v>126</v>
      </c>
      <c r="B7" s="98"/>
      <c r="C7" s="98"/>
      <c r="D7" s="98"/>
      <c r="E7" s="98"/>
      <c r="F7" s="98"/>
      <c r="G7" s="98"/>
      <c r="H7" s="98"/>
    </row>
    <row r="8" spans="1:8" ht="18.75" customHeight="1" x14ac:dyDescent="0.25">
      <c r="A8" s="99" t="s">
        <v>130</v>
      </c>
      <c r="B8" s="99"/>
      <c r="C8" s="99"/>
      <c r="D8" s="99"/>
      <c r="E8" s="99"/>
      <c r="F8" s="99"/>
      <c r="G8" s="99"/>
      <c r="H8" s="99"/>
    </row>
    <row r="9" spans="1:8" ht="14.25" customHeight="1" x14ac:dyDescent="0.25">
      <c r="A9" s="6"/>
      <c r="B9" s="46"/>
      <c r="C9" s="6"/>
      <c r="D9" s="6"/>
      <c r="E9" s="6"/>
      <c r="F9" s="6"/>
      <c r="G9" s="6"/>
      <c r="H9" s="6"/>
    </row>
    <row r="10" spans="1:8" ht="30" customHeight="1" x14ac:dyDescent="0.25">
      <c r="A10" s="95" t="s">
        <v>108</v>
      </c>
      <c r="B10" s="95"/>
      <c r="C10" s="95" t="s">
        <v>127</v>
      </c>
      <c r="D10" s="95"/>
      <c r="E10" s="95"/>
      <c r="F10" s="95" t="s">
        <v>110</v>
      </c>
      <c r="G10" s="95"/>
      <c r="H10" s="95"/>
    </row>
    <row r="11" spans="1:8" ht="52.5" customHeight="1" x14ac:dyDescent="0.25">
      <c r="A11" s="95"/>
      <c r="B11" s="95"/>
      <c r="C11" s="45" t="s">
        <v>103</v>
      </c>
      <c r="D11" s="45" t="s">
        <v>104</v>
      </c>
      <c r="E11" s="45" t="s">
        <v>112</v>
      </c>
      <c r="F11" s="45" t="s">
        <v>103</v>
      </c>
      <c r="G11" s="45" t="s">
        <v>104</v>
      </c>
      <c r="H11" s="45" t="s">
        <v>112</v>
      </c>
    </row>
    <row r="12" spans="1:8" ht="15.75" x14ac:dyDescent="0.25">
      <c r="A12" s="91" t="s">
        <v>43</v>
      </c>
      <c r="B12" s="14" t="s">
        <v>113</v>
      </c>
      <c r="C12" s="27">
        <v>25</v>
      </c>
      <c r="D12" s="27">
        <v>0</v>
      </c>
      <c r="E12" s="27">
        <v>0</v>
      </c>
      <c r="F12" s="27">
        <v>370</v>
      </c>
      <c r="G12" s="27">
        <v>0</v>
      </c>
      <c r="H12" s="25">
        <v>0</v>
      </c>
    </row>
    <row r="13" spans="1:8" ht="15.75" x14ac:dyDescent="0.25">
      <c r="A13" s="92"/>
      <c r="B13" s="14" t="s">
        <v>114</v>
      </c>
      <c r="C13" s="27" t="s">
        <v>136</v>
      </c>
      <c r="D13" s="27" t="s">
        <v>136</v>
      </c>
      <c r="E13" s="27" t="s">
        <v>136</v>
      </c>
      <c r="F13" s="27" t="s">
        <v>136</v>
      </c>
      <c r="G13" s="27" t="s">
        <v>136</v>
      </c>
      <c r="H13" s="25" t="s">
        <v>136</v>
      </c>
    </row>
    <row r="14" spans="1:8" ht="15.75" x14ac:dyDescent="0.25">
      <c r="A14" s="93"/>
      <c r="B14" s="18" t="s">
        <v>115</v>
      </c>
      <c r="C14" s="27">
        <v>25</v>
      </c>
      <c r="D14" s="27">
        <v>0</v>
      </c>
      <c r="E14" s="27">
        <v>0</v>
      </c>
      <c r="F14" s="27">
        <v>370</v>
      </c>
      <c r="G14" s="27">
        <v>0</v>
      </c>
      <c r="H14" s="25">
        <v>0</v>
      </c>
    </row>
    <row r="15" spans="1:8" ht="15.75" x14ac:dyDescent="0.25">
      <c r="A15" s="91" t="s">
        <v>46</v>
      </c>
      <c r="B15" s="14" t="s">
        <v>116</v>
      </c>
      <c r="C15" s="27">
        <v>2</v>
      </c>
      <c r="D15" s="27">
        <v>2</v>
      </c>
      <c r="E15" s="27">
        <v>0</v>
      </c>
      <c r="F15" s="27">
        <v>300</v>
      </c>
      <c r="G15" s="27">
        <v>300</v>
      </c>
      <c r="H15" s="25">
        <v>0</v>
      </c>
    </row>
    <row r="16" spans="1:8" ht="15.75" x14ac:dyDescent="0.25">
      <c r="A16" s="92"/>
      <c r="B16" s="14" t="s">
        <v>114</v>
      </c>
      <c r="C16" s="27" t="s">
        <v>136</v>
      </c>
      <c r="D16" s="27" t="s">
        <v>136</v>
      </c>
      <c r="E16" s="27" t="s">
        <v>136</v>
      </c>
      <c r="F16" s="27" t="s">
        <v>136</v>
      </c>
      <c r="G16" s="27" t="s">
        <v>136</v>
      </c>
      <c r="H16" s="25" t="s">
        <v>136</v>
      </c>
    </row>
    <row r="17" spans="1:8" ht="15.75" x14ac:dyDescent="0.25">
      <c r="A17" s="93"/>
      <c r="B17" s="18" t="s">
        <v>117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5">
        <v>0</v>
      </c>
    </row>
    <row r="18" spans="1:8" ht="15.75" x14ac:dyDescent="0.25">
      <c r="A18" s="91" t="s">
        <v>48</v>
      </c>
      <c r="B18" s="14" t="s">
        <v>118</v>
      </c>
      <c r="C18" s="27">
        <v>2</v>
      </c>
      <c r="D18" s="27">
        <v>0</v>
      </c>
      <c r="E18" s="27">
        <v>0</v>
      </c>
      <c r="F18" s="53">
        <v>831.6</v>
      </c>
      <c r="G18" s="27">
        <v>0</v>
      </c>
      <c r="H18" s="25">
        <v>0</v>
      </c>
    </row>
    <row r="19" spans="1:8" ht="15.75" x14ac:dyDescent="0.25">
      <c r="A19" s="92"/>
      <c r="B19" s="14" t="s">
        <v>114</v>
      </c>
      <c r="C19" s="27" t="s">
        <v>136</v>
      </c>
      <c r="D19" s="27" t="s">
        <v>136</v>
      </c>
      <c r="E19" s="27" t="s">
        <v>136</v>
      </c>
      <c r="F19" s="27" t="s">
        <v>136</v>
      </c>
      <c r="G19" s="27" t="s">
        <v>136</v>
      </c>
      <c r="H19" s="25" t="s">
        <v>136</v>
      </c>
    </row>
    <row r="20" spans="1:8" ht="15.75" x14ac:dyDescent="0.25">
      <c r="A20" s="93"/>
      <c r="B20" s="14" t="s">
        <v>119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</row>
    <row r="21" spans="1:8" ht="15.75" x14ac:dyDescent="0.25">
      <c r="A21" s="91" t="s">
        <v>55</v>
      </c>
      <c r="B21" s="14" t="s">
        <v>120</v>
      </c>
      <c r="C21" s="27">
        <v>0</v>
      </c>
      <c r="D21" s="27">
        <v>1</v>
      </c>
      <c r="E21" s="27">
        <v>0</v>
      </c>
      <c r="F21" s="27">
        <v>0</v>
      </c>
      <c r="G21" s="27">
        <v>3500</v>
      </c>
      <c r="H21" s="27">
        <v>0</v>
      </c>
    </row>
    <row r="22" spans="1:8" ht="15.75" x14ac:dyDescent="0.25">
      <c r="A22" s="92"/>
      <c r="B22" s="14" t="s">
        <v>114</v>
      </c>
      <c r="C22" s="27" t="s">
        <v>136</v>
      </c>
      <c r="D22" s="27" t="s">
        <v>136</v>
      </c>
      <c r="E22" s="27" t="s">
        <v>136</v>
      </c>
      <c r="F22" s="27" t="s">
        <v>136</v>
      </c>
      <c r="G22" s="27" t="s">
        <v>136</v>
      </c>
      <c r="H22" s="25" t="s">
        <v>136</v>
      </c>
    </row>
    <row r="23" spans="1:8" ht="15.75" x14ac:dyDescent="0.25">
      <c r="A23" s="93"/>
      <c r="B23" s="14" t="s">
        <v>119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ht="15.75" x14ac:dyDescent="0.25">
      <c r="A24" s="91" t="s">
        <v>57</v>
      </c>
      <c r="B24" s="14" t="s">
        <v>121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5">
        <v>0</v>
      </c>
    </row>
    <row r="25" spans="1:8" ht="15.75" x14ac:dyDescent="0.25">
      <c r="A25" s="92"/>
      <c r="B25" s="14" t="s">
        <v>114</v>
      </c>
      <c r="C25" s="27" t="s">
        <v>136</v>
      </c>
      <c r="D25" s="27" t="s">
        <v>136</v>
      </c>
      <c r="E25" s="27" t="s">
        <v>136</v>
      </c>
      <c r="F25" s="27" t="s">
        <v>136</v>
      </c>
      <c r="G25" s="27" t="s">
        <v>136</v>
      </c>
      <c r="H25" s="25" t="s">
        <v>136</v>
      </c>
    </row>
    <row r="26" spans="1:8" ht="15.75" x14ac:dyDescent="0.25">
      <c r="A26" s="93"/>
      <c r="B26" s="14" t="s">
        <v>119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</row>
    <row r="27" spans="1:8" ht="15.75" x14ac:dyDescent="0.25">
      <c r="A27" s="45" t="s">
        <v>55</v>
      </c>
      <c r="B27" s="14" t="s">
        <v>122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</row>
    <row r="28" spans="1:8" ht="15.75" x14ac:dyDescent="0.25">
      <c r="A28" s="6" t="s">
        <v>33</v>
      </c>
      <c r="B28" s="6"/>
      <c r="C28" s="6"/>
      <c r="D28" s="6"/>
      <c r="E28" s="6"/>
      <c r="F28" s="6"/>
      <c r="G28" s="6"/>
      <c r="H28" s="6"/>
    </row>
    <row r="29" spans="1:8" x14ac:dyDescent="0.25">
      <c r="A29" s="90" t="s">
        <v>128</v>
      </c>
      <c r="B29" s="90"/>
      <c r="C29" s="90"/>
      <c r="D29" s="90"/>
      <c r="E29" s="90"/>
      <c r="F29" s="90"/>
      <c r="G29" s="90"/>
      <c r="H29" s="90"/>
    </row>
    <row r="30" spans="1:8" x14ac:dyDescent="0.25">
      <c r="A30" s="90"/>
      <c r="B30" s="90"/>
      <c r="C30" s="90"/>
      <c r="D30" s="90"/>
      <c r="E30" s="90"/>
      <c r="F30" s="90"/>
      <c r="G30" s="90"/>
      <c r="H30" s="90"/>
    </row>
    <row r="31" spans="1:8" ht="9" customHeight="1" x14ac:dyDescent="0.25">
      <c r="A31" s="96" t="s">
        <v>124</v>
      </c>
      <c r="B31" s="96"/>
      <c r="C31" s="96"/>
      <c r="D31" s="96"/>
      <c r="E31" s="96"/>
      <c r="F31" s="96"/>
      <c r="G31" s="96"/>
      <c r="H31" s="96"/>
    </row>
    <row r="32" spans="1:8" ht="7.5" hidden="1" customHeight="1" x14ac:dyDescent="0.25">
      <c r="A32" s="96"/>
      <c r="B32" s="96"/>
      <c r="C32" s="96"/>
      <c r="D32" s="96"/>
      <c r="E32" s="96"/>
      <c r="F32" s="96"/>
      <c r="G32" s="96"/>
      <c r="H32" s="96"/>
    </row>
    <row r="33" spans="1:8" ht="15" hidden="1" customHeight="1" x14ac:dyDescent="0.25">
      <c r="A33" s="96"/>
      <c r="B33" s="96"/>
      <c r="C33" s="96"/>
      <c r="D33" s="96"/>
      <c r="E33" s="96"/>
      <c r="F33" s="96"/>
      <c r="G33" s="96"/>
      <c r="H33" s="96"/>
    </row>
    <row r="34" spans="1:8" ht="15" hidden="1" customHeight="1" x14ac:dyDescent="0.25">
      <c r="A34" s="96"/>
      <c r="B34" s="96"/>
      <c r="C34" s="96"/>
      <c r="D34" s="96"/>
      <c r="E34" s="96"/>
      <c r="F34" s="96"/>
      <c r="G34" s="96"/>
      <c r="H34" s="96"/>
    </row>
    <row r="35" spans="1:8" x14ac:dyDescent="0.25">
      <c r="A35" s="96"/>
      <c r="B35" s="96"/>
      <c r="C35" s="96"/>
      <c r="D35" s="96"/>
      <c r="E35" s="96"/>
      <c r="F35" s="96"/>
      <c r="G35" s="96"/>
      <c r="H35" s="96"/>
    </row>
    <row r="36" spans="1:8" x14ac:dyDescent="0.25">
      <c r="A36" s="96"/>
      <c r="B36" s="96"/>
      <c r="C36" s="96"/>
      <c r="D36" s="96"/>
      <c r="E36" s="96"/>
      <c r="F36" s="96"/>
      <c r="G36" s="96"/>
      <c r="H36" s="96"/>
    </row>
    <row r="37" spans="1:8" x14ac:dyDescent="0.25">
      <c r="A37" s="96"/>
      <c r="B37" s="96"/>
      <c r="C37" s="96"/>
      <c r="D37" s="96"/>
      <c r="E37" s="96"/>
      <c r="F37" s="96"/>
      <c r="G37" s="96"/>
      <c r="H37" s="96"/>
    </row>
    <row r="38" spans="1:8" x14ac:dyDescent="0.25">
      <c r="A38" s="96"/>
      <c r="B38" s="96"/>
      <c r="C38" s="96"/>
      <c r="D38" s="96"/>
      <c r="E38" s="96"/>
      <c r="F38" s="96"/>
      <c r="G38" s="96"/>
      <c r="H38" s="96"/>
    </row>
    <row r="39" spans="1:8" x14ac:dyDescent="0.25">
      <c r="A39" s="96"/>
      <c r="B39" s="96"/>
      <c r="C39" s="96"/>
      <c r="D39" s="96"/>
      <c r="E39" s="96"/>
      <c r="F39" s="96"/>
      <c r="G39" s="96"/>
      <c r="H39" s="96"/>
    </row>
    <row r="40" spans="1:8" x14ac:dyDescent="0.25">
      <c r="A40" s="96"/>
      <c r="B40" s="96"/>
      <c r="C40" s="96"/>
      <c r="D40" s="96"/>
      <c r="E40" s="96"/>
      <c r="F40" s="96"/>
      <c r="G40" s="96"/>
      <c r="H40" s="96"/>
    </row>
    <row r="41" spans="1:8" ht="4.5" customHeight="1" x14ac:dyDescent="0.25">
      <c r="A41" s="96"/>
      <c r="B41" s="96"/>
      <c r="C41" s="96"/>
      <c r="D41" s="96"/>
      <c r="E41" s="96"/>
      <c r="F41" s="96"/>
      <c r="G41" s="96"/>
      <c r="H41" s="96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/>
    <hyperlink ref="B17" location="sub_992" display="sub_992"/>
    <hyperlink ref="H2" location="sub_1000" display="sub_1000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44</vt:i4>
      </vt:variant>
    </vt:vector>
  </HeadingPairs>
  <TitlesOfParts>
    <vt:vector size="52" baseType="lpstr">
      <vt:lpstr>Прил 2</vt:lpstr>
      <vt:lpstr>Прил 3</vt:lpstr>
      <vt:lpstr>Прил 4</vt:lpstr>
      <vt:lpstr>Прил 5</vt:lpstr>
      <vt:lpstr>Прил 6</vt:lpstr>
      <vt:lpstr>Прил 7</vt:lpstr>
      <vt:lpstr>Прил 8 </vt:lpstr>
      <vt:lpstr>Прил 9</vt:lpstr>
      <vt:lpstr>'Прил 3'!sub_3001</vt:lpstr>
      <vt:lpstr>'Прил 3'!sub_3002</vt:lpstr>
      <vt:lpstr>'Прил 3'!sub_3003</vt:lpstr>
      <vt:lpstr>'Прил 3'!sub_3004</vt:lpstr>
      <vt:lpstr>'Прил 3'!sub_3007</vt:lpstr>
      <vt:lpstr>'Прил 3'!sub_3008</vt:lpstr>
      <vt:lpstr>'Прил 3'!sub_333</vt:lpstr>
      <vt:lpstr>'Прил 4'!sub_4001</vt:lpstr>
      <vt:lpstr>'Прил 4'!sub_4002</vt:lpstr>
      <vt:lpstr>'Прил 4'!sub_4003</vt:lpstr>
      <vt:lpstr>'Прил 4'!sub_4004</vt:lpstr>
      <vt:lpstr>'Прил 4'!sub_4005</vt:lpstr>
      <vt:lpstr>'Прил 4'!sub_4006</vt:lpstr>
      <vt:lpstr>'Прил 4'!sub_444</vt:lpstr>
      <vt:lpstr>'Прил 5'!sub_5001</vt:lpstr>
      <vt:lpstr>'Прил 5'!sub_5002</vt:lpstr>
      <vt:lpstr>'Прил 5'!sub_5003</vt:lpstr>
      <vt:lpstr>'Прил 6'!sub_6001</vt:lpstr>
      <vt:lpstr>'Прил 6'!sub_6002</vt:lpstr>
      <vt:lpstr>'Прил 6'!sub_6003</vt:lpstr>
      <vt:lpstr>'Прил 7'!sub_7001</vt:lpstr>
      <vt:lpstr>'Прил 7'!sub_7002</vt:lpstr>
      <vt:lpstr>'Прил 8 '!sub_8001</vt:lpstr>
      <vt:lpstr>'Прил 8 '!sub_8003</vt:lpstr>
      <vt:lpstr>'Прил 8 '!sub_8004</vt:lpstr>
      <vt:lpstr>'Прил 8 '!sub_8005</vt:lpstr>
      <vt:lpstr>'Прил 8 '!sub_8006</vt:lpstr>
      <vt:lpstr>'Прил 8 '!sub_881</vt:lpstr>
      <vt:lpstr>'Прил 8 '!sub_882</vt:lpstr>
      <vt:lpstr>'Прил 9'!sub_9001</vt:lpstr>
      <vt:lpstr>'Прил 9'!sub_9002</vt:lpstr>
      <vt:lpstr>'Прил 9'!sub_9003</vt:lpstr>
      <vt:lpstr>'Прил 9'!sub_9004</vt:lpstr>
      <vt:lpstr>'Прил 9'!sub_9005</vt:lpstr>
      <vt:lpstr>'Прил 9'!sub_9006</vt:lpstr>
      <vt:lpstr>'Прил 9'!sub_991</vt:lpstr>
      <vt:lpstr>'Прил 9'!sub_992</vt:lpstr>
      <vt:lpstr>'Прил 2'!Область_печати</vt:lpstr>
      <vt:lpstr>'Прил 3'!Область_печати</vt:lpstr>
      <vt:lpstr>'Прил 4'!Область_печати</vt:lpstr>
      <vt:lpstr>'Прил 5'!Область_печати</vt:lpstr>
      <vt:lpstr>'Прил 7'!Область_печати</vt:lpstr>
      <vt:lpstr>'Прил 8 '!Область_печати</vt:lpstr>
      <vt:lpstr>'Прил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2018-10-25T11:24:17Z</dcterms:modified>
</cp:coreProperties>
</file>